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ONG\LUONG 2024\LUONG GOI TRANG WES\"/>
    </mc:Choice>
  </mc:AlternateContent>
  <bookViews>
    <workbookView xWindow="0" yWindow="0" windowWidth="20490" windowHeight="7650"/>
  </bookViews>
  <sheets>
    <sheet name="CHUYỂN NH" sheetId="32" r:id="rId1"/>
    <sheet name="MẪU 09" sheetId="31" r:id="rId2"/>
    <sheet name="luong 8-2024" sheetId="27" r:id="rId3"/>
  </sheets>
  <definedNames>
    <definedName name="MANGACH" localSheetId="0">#REF!</definedName>
    <definedName name="MANGACH" localSheetId="2">#REF!</definedName>
    <definedName name="MANGACH" localSheetId="1">#REF!</definedName>
    <definedName name="MANGACH">#REF!</definedName>
    <definedName name="_xlnm.Print_Titles" localSheetId="0">'CHUYỂN NH'!$8:$8</definedName>
    <definedName name="_xlnm.Print_Titles" localSheetId="2">'luong 8-2024'!$5:$7</definedName>
    <definedName name="_xlnm.Print_Titles" localSheetId="1">'MẪU 09'!$10:$13</definedName>
  </definedNames>
  <calcPr calcId="162913"/>
</workbook>
</file>

<file path=xl/calcChain.xml><?xml version="1.0" encoding="utf-8"?>
<calcChain xmlns="http://schemas.openxmlformats.org/spreadsheetml/2006/main">
  <c r="T37" i="31" l="1"/>
  <c r="Q56" i="31" l="1"/>
  <c r="O24" i="27" l="1"/>
  <c r="O31" i="27"/>
  <c r="O32" i="27"/>
  <c r="T58" i="27" l="1"/>
  <c r="U58" i="27"/>
  <c r="V58" i="27"/>
  <c r="W58" i="27"/>
  <c r="AF58" i="27"/>
  <c r="AG58" i="27"/>
  <c r="N58" i="27"/>
  <c r="O58" i="27"/>
  <c r="Q58" i="27"/>
  <c r="S58" i="27"/>
  <c r="AI58" i="27"/>
  <c r="P15" i="31"/>
  <c r="R59" i="27" l="1"/>
  <c r="R60" i="27"/>
  <c r="R61" i="27"/>
  <c r="R62" i="27"/>
  <c r="P59" i="27"/>
  <c r="P60" i="27"/>
  <c r="P61" i="27"/>
  <c r="P62" i="27"/>
  <c r="X49" i="27"/>
  <c r="Y49" i="27"/>
  <c r="Z49" i="27"/>
  <c r="AA49" i="27"/>
  <c r="AB49" i="27"/>
  <c r="AC49" i="27"/>
  <c r="AD49" i="27"/>
  <c r="AE49" i="27"/>
  <c r="W26" i="27"/>
  <c r="V10" i="27"/>
  <c r="V11" i="27"/>
  <c r="V12" i="27"/>
  <c r="V13" i="27"/>
  <c r="V14" i="27"/>
  <c r="V15" i="27"/>
  <c r="V16" i="27"/>
  <c r="V17" i="27"/>
  <c r="V18" i="27"/>
  <c r="V19" i="27"/>
  <c r="V20" i="27"/>
  <c r="V21" i="27"/>
  <c r="V22" i="27"/>
  <c r="V23" i="27"/>
  <c r="V24" i="27"/>
  <c r="V25" i="27"/>
  <c r="V26" i="27"/>
  <c r="V27" i="27"/>
  <c r="V28" i="27"/>
  <c r="V29" i="27"/>
  <c r="V30" i="27"/>
  <c r="V31" i="27"/>
  <c r="V32" i="27"/>
  <c r="V33" i="27"/>
  <c r="V34" i="27"/>
  <c r="V35" i="27"/>
  <c r="V36" i="27"/>
  <c r="V37" i="27"/>
  <c r="V38" i="27"/>
  <c r="V39" i="27"/>
  <c r="V40" i="27"/>
  <c r="V41" i="27"/>
  <c r="V42" i="27"/>
  <c r="V43" i="27"/>
  <c r="V44" i="27"/>
  <c r="V45" i="27"/>
  <c r="V46" i="27"/>
  <c r="V47" i="27"/>
  <c r="V48" i="27"/>
  <c r="V49" i="27"/>
  <c r="V50" i="27"/>
  <c r="V51" i="27"/>
  <c r="V52" i="27"/>
  <c r="V53" i="27"/>
  <c r="V54" i="27"/>
  <c r="V55" i="27"/>
  <c r="V56" i="27"/>
  <c r="V57" i="27"/>
  <c r="V9" i="27"/>
  <c r="T10" i="27"/>
  <c r="T11" i="27"/>
  <c r="T12" i="27"/>
  <c r="T13" i="27"/>
  <c r="T14" i="27"/>
  <c r="T15" i="27"/>
  <c r="T16" i="27"/>
  <c r="T17" i="27"/>
  <c r="T18" i="27"/>
  <c r="T19" i="27"/>
  <c r="T20" i="27"/>
  <c r="T21" i="27"/>
  <c r="T22" i="27"/>
  <c r="T23" i="27"/>
  <c r="T24" i="27"/>
  <c r="T25" i="27"/>
  <c r="T26" i="27"/>
  <c r="T27" i="27"/>
  <c r="T28" i="27"/>
  <c r="T29" i="27"/>
  <c r="T30" i="27"/>
  <c r="T31" i="27"/>
  <c r="T32" i="27"/>
  <c r="T33" i="27"/>
  <c r="T34" i="27"/>
  <c r="T35" i="27"/>
  <c r="T36" i="27"/>
  <c r="T37" i="27"/>
  <c r="T38" i="27"/>
  <c r="T39" i="27"/>
  <c r="T40" i="27"/>
  <c r="T41" i="27"/>
  <c r="T42" i="27"/>
  <c r="T43" i="27"/>
  <c r="T44" i="27"/>
  <c r="T45" i="27"/>
  <c r="T46" i="27"/>
  <c r="T47" i="27"/>
  <c r="T48" i="27"/>
  <c r="T49" i="27"/>
  <c r="T50" i="27"/>
  <c r="T51" i="27"/>
  <c r="T52" i="27"/>
  <c r="T53" i="27"/>
  <c r="T54" i="27"/>
  <c r="T55" i="27"/>
  <c r="T56" i="27"/>
  <c r="T57" i="27"/>
  <c r="T9" i="27"/>
  <c r="R10" i="27"/>
  <c r="R11" i="27"/>
  <c r="R12" i="27"/>
  <c r="R13" i="27"/>
  <c r="R14" i="27"/>
  <c r="R15" i="27"/>
  <c r="R16" i="27"/>
  <c r="R17" i="27"/>
  <c r="R18" i="27"/>
  <c r="R19" i="27"/>
  <c r="R20" i="27"/>
  <c r="R21" i="27"/>
  <c r="R22" i="27"/>
  <c r="R23" i="27"/>
  <c r="R24" i="27"/>
  <c r="R25" i="27"/>
  <c r="R26" i="27"/>
  <c r="R27" i="27"/>
  <c r="R28" i="27"/>
  <c r="R29" i="27"/>
  <c r="R30" i="27"/>
  <c r="R31" i="27"/>
  <c r="R32" i="27"/>
  <c r="R33" i="27"/>
  <c r="R34" i="27"/>
  <c r="R35" i="27"/>
  <c r="R36" i="27"/>
  <c r="R37" i="27"/>
  <c r="R38" i="27"/>
  <c r="R39" i="27"/>
  <c r="R40" i="27"/>
  <c r="R41" i="27"/>
  <c r="R42" i="27"/>
  <c r="R43" i="27"/>
  <c r="R44" i="27"/>
  <c r="R45" i="27"/>
  <c r="R46" i="27"/>
  <c r="R47" i="27"/>
  <c r="R48" i="27"/>
  <c r="R50" i="27"/>
  <c r="R51" i="27"/>
  <c r="R52" i="27"/>
  <c r="R53" i="27"/>
  <c r="R54" i="27"/>
  <c r="R55" i="27"/>
  <c r="R56" i="27"/>
  <c r="R57" i="27"/>
  <c r="R9" i="27"/>
  <c r="P24" i="27"/>
  <c r="P31" i="27"/>
  <c r="P32" i="27"/>
  <c r="M49" i="27"/>
  <c r="P58" i="27" l="1"/>
  <c r="R58" i="27"/>
  <c r="G48" i="31"/>
  <c r="G49" i="31"/>
  <c r="G50" i="31"/>
  <c r="G51" i="31"/>
  <c r="G52" i="31"/>
  <c r="G53" i="31"/>
  <c r="G54" i="31"/>
  <c r="G55" i="31"/>
  <c r="G56" i="31"/>
  <c r="O49" i="27"/>
  <c r="P49" i="27" s="1"/>
  <c r="AH49" i="27" s="1"/>
  <c r="F56" i="31" s="1"/>
  <c r="I9" i="27" l="1"/>
  <c r="K9" i="27" l="1"/>
  <c r="L9" i="27"/>
  <c r="X9" i="27" l="1"/>
  <c r="Z9" i="27"/>
  <c r="AD9" i="27"/>
  <c r="AB9" i="27"/>
  <c r="AE9" i="27"/>
  <c r="M9" i="27"/>
  <c r="AC9" i="27"/>
  <c r="AA9" i="27"/>
  <c r="Y9" i="27"/>
  <c r="O25" i="27"/>
  <c r="P25" i="27" s="1"/>
  <c r="K24" i="27"/>
  <c r="L24" i="27" s="1"/>
  <c r="AB24" i="27" l="1"/>
  <c r="AC24" i="27"/>
  <c r="AD24" i="27"/>
  <c r="AE24" i="27"/>
  <c r="X24" i="27"/>
  <c r="Y24" i="27"/>
  <c r="Z24" i="27"/>
  <c r="M24" i="27"/>
  <c r="AA24" i="27"/>
  <c r="O9" i="27"/>
  <c r="P9" i="27" s="1"/>
  <c r="AH24" i="27" l="1"/>
  <c r="F31" i="31"/>
  <c r="Q31" i="31"/>
  <c r="O52" i="27"/>
  <c r="P52" i="27" s="1"/>
  <c r="K52" i="27"/>
  <c r="L52" i="27" s="1"/>
  <c r="AC52" i="27" l="1"/>
  <c r="AE52" i="27"/>
  <c r="Y52" i="27"/>
  <c r="AA52" i="27"/>
  <c r="X52" i="27"/>
  <c r="Z52" i="27"/>
  <c r="AB52" i="27"/>
  <c r="AD52" i="27"/>
  <c r="M52" i="27"/>
  <c r="O35" i="27"/>
  <c r="P35" i="27" s="1"/>
  <c r="O36" i="27"/>
  <c r="P36" i="27" s="1"/>
  <c r="K35" i="27"/>
  <c r="L35" i="27" s="1"/>
  <c r="K36" i="27"/>
  <c r="L36" i="27" s="1"/>
  <c r="AC35" i="27" l="1"/>
  <c r="AE35" i="27"/>
  <c r="Y35" i="27"/>
  <c r="M35" i="27"/>
  <c r="Z35" i="27"/>
  <c r="AA35" i="27"/>
  <c r="AB35" i="27"/>
  <c r="X35" i="27"/>
  <c r="AD35" i="27"/>
  <c r="AC36" i="27"/>
  <c r="AE36" i="27"/>
  <c r="Y36" i="27"/>
  <c r="AA36" i="27"/>
  <c r="X36" i="27"/>
  <c r="M36" i="27"/>
  <c r="AD36" i="27"/>
  <c r="Z36" i="27"/>
  <c r="AB36" i="27"/>
  <c r="AH52" i="27"/>
  <c r="L60" i="27"/>
  <c r="L61" i="27"/>
  <c r="L62" i="27"/>
  <c r="L59" i="27"/>
  <c r="AH36" i="27" l="1"/>
  <c r="F43" i="31" s="1"/>
  <c r="Q43" i="31"/>
  <c r="X62" i="27"/>
  <c r="Y62" i="27"/>
  <c r="Z62" i="27"/>
  <c r="AA62" i="27"/>
  <c r="M62" i="27"/>
  <c r="AB62" i="27"/>
  <c r="AC62" i="27"/>
  <c r="AD62" i="27"/>
  <c r="AE62" i="27"/>
  <c r="X59" i="27"/>
  <c r="Y59" i="27"/>
  <c r="Z59" i="27"/>
  <c r="AA59" i="27"/>
  <c r="AB59" i="27"/>
  <c r="AC59" i="27"/>
  <c r="AD59" i="27"/>
  <c r="AE59" i="27"/>
  <c r="M59" i="27"/>
  <c r="X61" i="27"/>
  <c r="Y61" i="27"/>
  <c r="M61" i="27"/>
  <c r="Z61" i="27"/>
  <c r="AA61" i="27"/>
  <c r="AB61" i="27"/>
  <c r="AC61" i="27"/>
  <c r="AD61" i="27"/>
  <c r="AE61" i="27"/>
  <c r="X60" i="27"/>
  <c r="Y60" i="27"/>
  <c r="M60" i="27"/>
  <c r="Z60" i="27"/>
  <c r="AA60" i="27"/>
  <c r="AB60" i="27"/>
  <c r="AC60" i="27"/>
  <c r="AD60" i="27"/>
  <c r="AE60" i="27"/>
  <c r="AH35" i="27"/>
  <c r="F59" i="31"/>
  <c r="Q59" i="31"/>
  <c r="L58" i="27"/>
  <c r="AE58" i="27" l="1"/>
  <c r="AD58" i="27"/>
  <c r="AB58" i="27"/>
  <c r="Y58" i="27"/>
  <c r="F42" i="31"/>
  <c r="Q42" i="31"/>
  <c r="AA58" i="27"/>
  <c r="Z58" i="27"/>
  <c r="M58" i="27"/>
  <c r="X58" i="27"/>
  <c r="AC58" i="27"/>
  <c r="AH59" i="27"/>
  <c r="AH60" i="27"/>
  <c r="H67" i="31" s="1"/>
  <c r="AH61" i="27"/>
  <c r="H68" i="31" s="1"/>
  <c r="AH62" i="27"/>
  <c r="H69" i="31" s="1"/>
  <c r="AH58" i="27" l="1"/>
  <c r="H66" i="31"/>
  <c r="F65" i="31"/>
  <c r="G65" i="31"/>
  <c r="AI63" i="27" l="1"/>
  <c r="F58" i="27" l="1"/>
  <c r="O17" i="27" l="1"/>
  <c r="P17" i="27" s="1"/>
  <c r="O18" i="27"/>
  <c r="P18" i="27" s="1"/>
  <c r="O57" i="27"/>
  <c r="P57" i="27" s="1"/>
  <c r="K57" i="27" l="1"/>
  <c r="L57" i="27" s="1"/>
  <c r="AC57" i="27" l="1"/>
  <c r="AE57" i="27"/>
  <c r="M57" i="27"/>
  <c r="Y57" i="27"/>
  <c r="AA57" i="27"/>
  <c r="X57" i="27"/>
  <c r="Z57" i="27"/>
  <c r="AB57" i="27"/>
  <c r="AD57" i="27"/>
  <c r="N63" i="27"/>
  <c r="AH57" i="27" l="1"/>
  <c r="F64" i="31" s="1"/>
  <c r="E64" i="31" s="1"/>
  <c r="D57" i="32" s="1"/>
  <c r="E57" i="32" s="1"/>
  <c r="O50" i="27"/>
  <c r="P50" i="27" s="1"/>
  <c r="H65" i="31" l="1"/>
  <c r="H14" i="31" s="1"/>
  <c r="E69" i="31"/>
  <c r="D61" i="32" s="1"/>
  <c r="E61" i="32" s="1"/>
  <c r="E66" i="31"/>
  <c r="D58" i="32" s="1"/>
  <c r="E58" i="32" s="1"/>
  <c r="E67" i="31"/>
  <c r="D59" i="32" s="1"/>
  <c r="E59" i="32" s="1"/>
  <c r="E68" i="31"/>
  <c r="D60" i="32" s="1"/>
  <c r="E60" i="32" s="1"/>
  <c r="L15" i="31"/>
  <c r="M15" i="31"/>
  <c r="E65" i="31" l="1"/>
  <c r="M14" i="31"/>
  <c r="L14" i="31"/>
  <c r="AF8" i="27" l="1"/>
  <c r="AF63" i="27" s="1"/>
  <c r="AG8" i="27"/>
  <c r="AG63" i="27" s="1"/>
  <c r="S8" i="27"/>
  <c r="S63" i="27" s="1"/>
  <c r="Q8" i="27"/>
  <c r="H8" i="27"/>
  <c r="G8" i="27"/>
  <c r="O54" i="27"/>
  <c r="P54" i="27" s="1"/>
  <c r="O55" i="27"/>
  <c r="P55" i="27" s="1"/>
  <c r="O56" i="27"/>
  <c r="P56" i="27" s="1"/>
  <c r="O43" i="27"/>
  <c r="P43" i="27" s="1"/>
  <c r="O44" i="27"/>
  <c r="P44" i="27" s="1"/>
  <c r="O45" i="27"/>
  <c r="P45" i="27" s="1"/>
  <c r="O46" i="27"/>
  <c r="P46" i="27" s="1"/>
  <c r="O48" i="27"/>
  <c r="P48" i="27" s="1"/>
  <c r="O40" i="27"/>
  <c r="P40" i="27" s="1"/>
  <c r="O41" i="27"/>
  <c r="P41" i="27" s="1"/>
  <c r="O42" i="27"/>
  <c r="P42" i="27" s="1"/>
  <c r="O34" i="27"/>
  <c r="P34" i="27" s="1"/>
  <c r="O38" i="27"/>
  <c r="P38" i="27" s="1"/>
  <c r="O39" i="27"/>
  <c r="P39" i="27" s="1"/>
  <c r="O33" i="27"/>
  <c r="P33" i="27" s="1"/>
  <c r="O11" i="27"/>
  <c r="P11" i="27" s="1"/>
  <c r="O13" i="27"/>
  <c r="P13" i="27" s="1"/>
  <c r="O14" i="27"/>
  <c r="P14" i="27" s="1"/>
  <c r="O16" i="27"/>
  <c r="P16" i="27" s="1"/>
  <c r="O19" i="27"/>
  <c r="P19" i="27" s="1"/>
  <c r="O20" i="27"/>
  <c r="P20" i="27" s="1"/>
  <c r="O21" i="27"/>
  <c r="P21" i="27" s="1"/>
  <c r="O22" i="27"/>
  <c r="P22" i="27" s="1"/>
  <c r="O23" i="27"/>
  <c r="P23" i="27" s="1"/>
  <c r="O26" i="27"/>
  <c r="P26" i="27" s="1"/>
  <c r="O28" i="27"/>
  <c r="P28" i="27" s="1"/>
  <c r="O29" i="27"/>
  <c r="P29" i="27" s="1"/>
  <c r="O30" i="27"/>
  <c r="P30" i="27" s="1"/>
  <c r="H63" i="27" l="1"/>
  <c r="Q63" i="27"/>
  <c r="G63" i="27"/>
  <c r="K56" i="27"/>
  <c r="L56" i="27" s="1"/>
  <c r="AC56" i="27" l="1"/>
  <c r="AE56" i="27"/>
  <c r="Y56" i="27"/>
  <c r="AA56" i="27"/>
  <c r="X56" i="27"/>
  <c r="AB56" i="27"/>
  <c r="M56" i="27"/>
  <c r="Z56" i="27"/>
  <c r="AD56" i="27"/>
  <c r="O53" i="27"/>
  <c r="P53" i="27" s="1"/>
  <c r="O37" i="27"/>
  <c r="P37" i="27" s="1"/>
  <c r="O27" i="27"/>
  <c r="P27" i="27" s="1"/>
  <c r="F12" i="27"/>
  <c r="O12" i="27" s="1"/>
  <c r="P12" i="27" s="1"/>
  <c r="AH56" i="27" l="1"/>
  <c r="F63" i="31"/>
  <c r="Q63" i="31"/>
  <c r="E63" i="31"/>
  <c r="D56" i="32" s="1"/>
  <c r="E56" i="32" s="1"/>
  <c r="O10" i="27"/>
  <c r="P10" i="27" s="1"/>
  <c r="U8" i="27" l="1"/>
  <c r="U63" i="27" s="1"/>
  <c r="K53" i="27" l="1"/>
  <c r="L53" i="27" s="1"/>
  <c r="K54" i="27"/>
  <c r="L54" i="27" s="1"/>
  <c r="K55" i="27"/>
  <c r="L55" i="27" s="1"/>
  <c r="AC55" i="27" l="1"/>
  <c r="M55" i="27"/>
  <c r="AE55" i="27"/>
  <c r="Y55" i="27"/>
  <c r="AA55" i="27"/>
  <c r="X55" i="27"/>
  <c r="AD55" i="27"/>
  <c r="Z55" i="27"/>
  <c r="AB55" i="27"/>
  <c r="AC54" i="27"/>
  <c r="AE54" i="27"/>
  <c r="Y54" i="27"/>
  <c r="AA54" i="27"/>
  <c r="X54" i="27"/>
  <c r="Z54" i="27"/>
  <c r="AB54" i="27"/>
  <c r="AD54" i="27"/>
  <c r="M54" i="27"/>
  <c r="AC53" i="27"/>
  <c r="AE53" i="27"/>
  <c r="Y53" i="27"/>
  <c r="AA53" i="27"/>
  <c r="M53" i="27"/>
  <c r="AH53" i="27" s="1"/>
  <c r="X53" i="27"/>
  <c r="Z53" i="27"/>
  <c r="AB53" i="27"/>
  <c r="AD53" i="27"/>
  <c r="K12" i="27"/>
  <c r="K13" i="27"/>
  <c r="L13" i="27" s="1"/>
  <c r="F60" i="31" l="1"/>
  <c r="Q60" i="31"/>
  <c r="AC13" i="27"/>
  <c r="M13" i="27"/>
  <c r="AD13" i="27"/>
  <c r="AE13" i="27"/>
  <c r="X13" i="27"/>
  <c r="Y13" i="27"/>
  <c r="Z13" i="27"/>
  <c r="AA13" i="27"/>
  <c r="AB13" i="27"/>
  <c r="AH54" i="27"/>
  <c r="AH55" i="27"/>
  <c r="L12" i="27"/>
  <c r="AH13" i="27" l="1"/>
  <c r="F62" i="31"/>
  <c r="Q62" i="31"/>
  <c r="AC12" i="27"/>
  <c r="AD12" i="27"/>
  <c r="AE12" i="27"/>
  <c r="X12" i="27"/>
  <c r="Y12" i="27"/>
  <c r="Z12" i="27"/>
  <c r="AA12" i="27"/>
  <c r="AB12" i="27"/>
  <c r="M12" i="27"/>
  <c r="F61" i="31"/>
  <c r="Q61" i="31"/>
  <c r="E60" i="31"/>
  <c r="D53" i="32" s="1"/>
  <c r="E53" i="32" s="1"/>
  <c r="E61" i="31"/>
  <c r="D54" i="32" s="1"/>
  <c r="E54" i="32" s="1"/>
  <c r="AH12" i="27" l="1"/>
  <c r="F20" i="31"/>
  <c r="Q20" i="31"/>
  <c r="E62" i="31"/>
  <c r="K17" i="27"/>
  <c r="L17" i="27" s="1"/>
  <c r="K18" i="27"/>
  <c r="L18" i="27" s="1"/>
  <c r="AC17" i="27" l="1"/>
  <c r="AD17" i="27"/>
  <c r="AE17" i="27"/>
  <c r="X17" i="27"/>
  <c r="Y17" i="27"/>
  <c r="M17" i="27"/>
  <c r="AH17" i="27" s="1"/>
  <c r="Z17" i="27"/>
  <c r="AA17" i="27"/>
  <c r="AB17" i="27"/>
  <c r="AC18" i="27"/>
  <c r="AD18" i="27"/>
  <c r="AE18" i="27"/>
  <c r="X18" i="27"/>
  <c r="Y18" i="27"/>
  <c r="Z18" i="27"/>
  <c r="AA18" i="27"/>
  <c r="AB18" i="27"/>
  <c r="M18" i="27"/>
  <c r="F19" i="31"/>
  <c r="Q19" i="31"/>
  <c r="D55" i="32"/>
  <c r="E55" i="32" s="1"/>
  <c r="K14" i="27"/>
  <c r="F24" i="31" l="1"/>
  <c r="Q24" i="31"/>
  <c r="AH18" i="27"/>
  <c r="L14" i="27"/>
  <c r="AC14" i="27" l="1"/>
  <c r="AD14" i="27"/>
  <c r="AE14" i="27"/>
  <c r="X14" i="27"/>
  <c r="Y14" i="27"/>
  <c r="Z14" i="27"/>
  <c r="AA14" i="27"/>
  <c r="AB14" i="27"/>
  <c r="M14" i="27"/>
  <c r="F25" i="31"/>
  <c r="Q25" i="31"/>
  <c r="K50" i="27"/>
  <c r="L50" i="27" s="1"/>
  <c r="K51" i="27"/>
  <c r="K43" i="27"/>
  <c r="L43" i="27" s="1"/>
  <c r="K44" i="27"/>
  <c r="K45" i="27"/>
  <c r="L45" i="27" s="1"/>
  <c r="K46" i="27"/>
  <c r="K48" i="27"/>
  <c r="L48" i="27" s="1"/>
  <c r="K38" i="27"/>
  <c r="L38" i="27" s="1"/>
  <c r="K39" i="27"/>
  <c r="L39" i="27" s="1"/>
  <c r="K40" i="27"/>
  <c r="L40" i="27" s="1"/>
  <c r="K41" i="27"/>
  <c r="L41" i="27" s="1"/>
  <c r="K42" i="27"/>
  <c r="K33" i="27"/>
  <c r="L33" i="27" s="1"/>
  <c r="K34" i="27"/>
  <c r="L34" i="27" s="1"/>
  <c r="K37" i="27"/>
  <c r="L37" i="27" s="1"/>
  <c r="K31" i="27"/>
  <c r="L31" i="27" s="1"/>
  <c r="K32" i="27"/>
  <c r="L32" i="27" s="1"/>
  <c r="K26" i="27"/>
  <c r="L26" i="27" s="1"/>
  <c r="K27" i="27"/>
  <c r="L27" i="27" s="1"/>
  <c r="K28" i="27"/>
  <c r="L28" i="27" s="1"/>
  <c r="K29" i="27"/>
  <c r="L29" i="27" s="1"/>
  <c r="K30" i="27"/>
  <c r="L30" i="27" s="1"/>
  <c r="K19" i="27"/>
  <c r="K20" i="27"/>
  <c r="L20" i="27" s="1"/>
  <c r="K21" i="27"/>
  <c r="L21" i="27" s="1"/>
  <c r="K22" i="27"/>
  <c r="L22" i="27" s="1"/>
  <c r="K23" i="27"/>
  <c r="L23" i="27" s="1"/>
  <c r="K25" i="27"/>
  <c r="L25" i="27" s="1"/>
  <c r="K16" i="27"/>
  <c r="K10" i="27"/>
  <c r="K11" i="27"/>
  <c r="AC45" i="27" l="1"/>
  <c r="AE45" i="27"/>
  <c r="Y45" i="27"/>
  <c r="AA45" i="27"/>
  <c r="M45" i="27"/>
  <c r="X45" i="27"/>
  <c r="AB45" i="27"/>
  <c r="Z45" i="27"/>
  <c r="AD45" i="27"/>
  <c r="AC27" i="27"/>
  <c r="AD27" i="27"/>
  <c r="AE27" i="27"/>
  <c r="X27" i="27"/>
  <c r="Y27" i="27"/>
  <c r="Z27" i="27"/>
  <c r="AA27" i="27"/>
  <c r="AB27" i="27"/>
  <c r="M27" i="27"/>
  <c r="AC22" i="27"/>
  <c r="AD22" i="27"/>
  <c r="AE22" i="27"/>
  <c r="X22" i="27"/>
  <c r="Y22" i="27"/>
  <c r="Z22" i="27"/>
  <c r="AA22" i="27"/>
  <c r="AB22" i="27"/>
  <c r="M22" i="27"/>
  <c r="AC26" i="27"/>
  <c r="AD26" i="27"/>
  <c r="AE26" i="27"/>
  <c r="X26" i="27"/>
  <c r="Y26" i="27"/>
  <c r="M26" i="27"/>
  <c r="Z26" i="27"/>
  <c r="AA26" i="27"/>
  <c r="AB26" i="27"/>
  <c r="AC40" i="27"/>
  <c r="AE40" i="27"/>
  <c r="Y40" i="27"/>
  <c r="AA40" i="27"/>
  <c r="X40" i="27"/>
  <c r="M40" i="27"/>
  <c r="AD40" i="27"/>
  <c r="Z40" i="27"/>
  <c r="AB40" i="27"/>
  <c r="AC29" i="27"/>
  <c r="AD29" i="27"/>
  <c r="AE29" i="27"/>
  <c r="X29" i="27"/>
  <c r="Y29" i="27"/>
  <c r="Z29" i="27"/>
  <c r="AA29" i="27"/>
  <c r="AB29" i="27"/>
  <c r="M29" i="27"/>
  <c r="AC28" i="27"/>
  <c r="AD28" i="27"/>
  <c r="AE28" i="27"/>
  <c r="X28" i="27"/>
  <c r="Y28" i="27"/>
  <c r="Z28" i="27"/>
  <c r="AA28" i="27"/>
  <c r="M28" i="27"/>
  <c r="AB28" i="27"/>
  <c r="AC21" i="27"/>
  <c r="M21" i="27"/>
  <c r="AD21" i="27"/>
  <c r="AE21" i="27"/>
  <c r="X21" i="27"/>
  <c r="Y21" i="27"/>
  <c r="Z21" i="27"/>
  <c r="AA21" i="27"/>
  <c r="AB21" i="27"/>
  <c r="AC32" i="27"/>
  <c r="AD32" i="27"/>
  <c r="AE32" i="27"/>
  <c r="X32" i="27"/>
  <c r="Y32" i="27"/>
  <c r="Z32" i="27"/>
  <c r="AA32" i="27"/>
  <c r="AB32" i="27"/>
  <c r="M32" i="27"/>
  <c r="AC39" i="27"/>
  <c r="M39" i="27"/>
  <c r="AE39" i="27"/>
  <c r="Y39" i="27"/>
  <c r="AA39" i="27"/>
  <c r="X39" i="27"/>
  <c r="AB39" i="27"/>
  <c r="Z39" i="27"/>
  <c r="AD39" i="27"/>
  <c r="AC50" i="27"/>
  <c r="AE50" i="27"/>
  <c r="Y50" i="27"/>
  <c r="AA50" i="27"/>
  <c r="X50" i="27"/>
  <c r="Z50" i="27"/>
  <c r="AB50" i="27"/>
  <c r="AD50" i="27"/>
  <c r="M50" i="27"/>
  <c r="AC25" i="27"/>
  <c r="AD25" i="27"/>
  <c r="AE25" i="27"/>
  <c r="X25" i="27"/>
  <c r="Y25" i="27"/>
  <c r="Z25" i="27"/>
  <c r="AA25" i="27"/>
  <c r="AB25" i="27"/>
  <c r="M25" i="27"/>
  <c r="AC41" i="27"/>
  <c r="AE41" i="27"/>
  <c r="M41" i="27"/>
  <c r="Y41" i="27"/>
  <c r="AA41" i="27"/>
  <c r="X41" i="27"/>
  <c r="AB41" i="27"/>
  <c r="Z41" i="27"/>
  <c r="AD41" i="27"/>
  <c r="AC20" i="27"/>
  <c r="AD20" i="27"/>
  <c r="AE20" i="27"/>
  <c r="X20" i="27"/>
  <c r="Y20" i="27"/>
  <c r="Z20" i="27"/>
  <c r="AA20" i="27"/>
  <c r="AB20" i="27"/>
  <c r="M20" i="27"/>
  <c r="AC31" i="27"/>
  <c r="M31" i="27"/>
  <c r="AD31" i="27"/>
  <c r="AE31" i="27"/>
  <c r="X31" i="27"/>
  <c r="Y31" i="27"/>
  <c r="Z31" i="27"/>
  <c r="AA31" i="27"/>
  <c r="AB31" i="27"/>
  <c r="AC38" i="27"/>
  <c r="AE38" i="27"/>
  <c r="Y38" i="27"/>
  <c r="AA38" i="27"/>
  <c r="X38" i="27"/>
  <c r="Z38" i="27"/>
  <c r="M38" i="27"/>
  <c r="AB38" i="27"/>
  <c r="AD38" i="27"/>
  <c r="AC43" i="27"/>
  <c r="AE43" i="27"/>
  <c r="Y43" i="27"/>
  <c r="M43" i="27"/>
  <c r="AA43" i="27"/>
  <c r="X43" i="27"/>
  <c r="Z43" i="27"/>
  <c r="AB43" i="27"/>
  <c r="AD43" i="27"/>
  <c r="AC37" i="27"/>
  <c r="AE37" i="27"/>
  <c r="Y37" i="27"/>
  <c r="AA37" i="27"/>
  <c r="M37" i="27"/>
  <c r="X37" i="27"/>
  <c r="AB37" i="27"/>
  <c r="Z37" i="27"/>
  <c r="AD37" i="27"/>
  <c r="AC48" i="27"/>
  <c r="AE48" i="27"/>
  <c r="Y48" i="27"/>
  <c r="AA48" i="27"/>
  <c r="M48" i="27"/>
  <c r="AH48" i="27" s="1"/>
  <c r="X48" i="27"/>
  <c r="AD48" i="27"/>
  <c r="Z48" i="27"/>
  <c r="AB48" i="27"/>
  <c r="AC33" i="27"/>
  <c r="AE33" i="27"/>
  <c r="M33" i="27"/>
  <c r="X33" i="27"/>
  <c r="Y33" i="27"/>
  <c r="Z33" i="27"/>
  <c r="AA33" i="27"/>
  <c r="AB33" i="27"/>
  <c r="AD33" i="27"/>
  <c r="AC23" i="27"/>
  <c r="AD23" i="27"/>
  <c r="AE23" i="27"/>
  <c r="M23" i="27"/>
  <c r="AH23" i="27" s="1"/>
  <c r="X23" i="27"/>
  <c r="Y23" i="27"/>
  <c r="Z23" i="27"/>
  <c r="AA23" i="27"/>
  <c r="AB23" i="27"/>
  <c r="AC34" i="27"/>
  <c r="AE34" i="27"/>
  <c r="X34" i="27"/>
  <c r="Y34" i="27"/>
  <c r="Z34" i="27"/>
  <c r="AA34" i="27"/>
  <c r="AD34" i="27"/>
  <c r="M34" i="27"/>
  <c r="AB34" i="27"/>
  <c r="AH14" i="27"/>
  <c r="AB30" i="27"/>
  <c r="AC30" i="27"/>
  <c r="AD30" i="27"/>
  <c r="M30" i="27"/>
  <c r="AE30" i="27"/>
  <c r="X30" i="27"/>
  <c r="Z30" i="27"/>
  <c r="AA30" i="27"/>
  <c r="Y30" i="27"/>
  <c r="L51" i="27"/>
  <c r="L46" i="27"/>
  <c r="L44" i="27"/>
  <c r="L19" i="27"/>
  <c r="L42" i="27"/>
  <c r="AH31" i="27" l="1"/>
  <c r="AH33" i="27"/>
  <c r="AH37" i="27"/>
  <c r="AH38" i="27"/>
  <c r="AH20" i="27"/>
  <c r="AH28" i="27"/>
  <c r="AH29" i="27"/>
  <c r="AH34" i="27"/>
  <c r="AH45" i="27"/>
  <c r="AH41" i="27"/>
  <c r="AC42" i="27"/>
  <c r="AE42" i="27"/>
  <c r="Y42" i="27"/>
  <c r="AA42" i="27"/>
  <c r="M42" i="27"/>
  <c r="AH42" i="27" s="1"/>
  <c r="X42" i="27"/>
  <c r="Z42" i="27"/>
  <c r="AB42" i="27"/>
  <c r="AD42" i="27"/>
  <c r="AC19" i="27"/>
  <c r="AD19" i="27"/>
  <c r="AE19" i="27"/>
  <c r="X19" i="27"/>
  <c r="Y19" i="27"/>
  <c r="Z19" i="27"/>
  <c r="AA19" i="27"/>
  <c r="M19" i="27"/>
  <c r="AB19" i="27"/>
  <c r="AH43" i="27"/>
  <c r="AH25" i="27"/>
  <c r="F55" i="31"/>
  <c r="Q55" i="31"/>
  <c r="AH30" i="27"/>
  <c r="AH50" i="27"/>
  <c r="AH39" i="27"/>
  <c r="AH22" i="27"/>
  <c r="F30" i="31"/>
  <c r="Q30" i="31"/>
  <c r="AC44" i="27"/>
  <c r="AE44" i="27"/>
  <c r="Y44" i="27"/>
  <c r="AA44" i="27"/>
  <c r="M44" i="27"/>
  <c r="X44" i="27"/>
  <c r="AD44" i="27"/>
  <c r="Z44" i="27"/>
  <c r="AB44" i="27"/>
  <c r="AC46" i="27"/>
  <c r="AE46" i="27"/>
  <c r="Y46" i="27"/>
  <c r="AA46" i="27"/>
  <c r="M46" i="27"/>
  <c r="X46" i="27"/>
  <c r="Z46" i="27"/>
  <c r="AB46" i="27"/>
  <c r="AD46" i="27"/>
  <c r="AH40" i="27"/>
  <c r="AH27" i="27"/>
  <c r="F38" i="31"/>
  <c r="Q38" i="31"/>
  <c r="F21" i="31"/>
  <c r="Q21" i="31"/>
  <c r="AC51" i="27"/>
  <c r="AE51" i="27"/>
  <c r="Y51" i="27"/>
  <c r="M51" i="27"/>
  <c r="AA51" i="27"/>
  <c r="X51" i="27"/>
  <c r="AD51" i="27"/>
  <c r="Z51" i="27"/>
  <c r="AB51" i="27"/>
  <c r="AH32" i="27"/>
  <c r="AH21" i="27"/>
  <c r="AH26" i="27"/>
  <c r="F37" i="31"/>
  <c r="Q37" i="31"/>
  <c r="O51" i="27"/>
  <c r="P51" i="27" s="1"/>
  <c r="F32" i="31" l="1"/>
  <c r="Q32" i="31"/>
  <c r="F39" i="31"/>
  <c r="Q39" i="31"/>
  <c r="F41" i="31"/>
  <c r="Q41" i="31"/>
  <c r="F49" i="31"/>
  <c r="Q49" i="31"/>
  <c r="F50" i="31"/>
  <c r="Q50" i="31"/>
  <c r="F35" i="31"/>
  <c r="Q35" i="31"/>
  <c r="F36" i="31"/>
  <c r="Q36" i="31"/>
  <c r="AH46" i="27"/>
  <c r="F29" i="31"/>
  <c r="Q29" i="31"/>
  <c r="F27" i="31"/>
  <c r="Q27" i="31"/>
  <c r="AH44" i="27"/>
  <c r="F46" i="31"/>
  <c r="Q46" i="31"/>
  <c r="AH19" i="27"/>
  <c r="F45" i="31"/>
  <c r="Q45" i="31"/>
  <c r="F33" i="31"/>
  <c r="Q33" i="31"/>
  <c r="F34" i="31"/>
  <c r="Q34" i="31"/>
  <c r="F57" i="31"/>
  <c r="Q57" i="31"/>
  <c r="F48" i="31"/>
  <c r="Q48" i="31"/>
  <c r="F44" i="31"/>
  <c r="Q44" i="31"/>
  <c r="AH51" i="27"/>
  <c r="F28" i="31"/>
  <c r="Q28" i="31"/>
  <c r="F47" i="31"/>
  <c r="Q47" i="31"/>
  <c r="F52" i="31"/>
  <c r="Q52" i="31"/>
  <c r="F40" i="31"/>
  <c r="Q40" i="31"/>
  <c r="E59" i="31"/>
  <c r="D52" i="32" s="1"/>
  <c r="E52" i="32" s="1"/>
  <c r="F26" i="31" l="1"/>
  <c r="Q26" i="31"/>
  <c r="F51" i="31"/>
  <c r="Q51" i="31"/>
  <c r="F53" i="31"/>
  <c r="Q53" i="31"/>
  <c r="F58" i="31"/>
  <c r="Q58" i="31"/>
  <c r="O47" i="27"/>
  <c r="P47" i="27" s="1"/>
  <c r="F15" i="27"/>
  <c r="I15" i="27" l="1"/>
  <c r="F8" i="27"/>
  <c r="K47" i="27"/>
  <c r="I8" i="27" l="1"/>
  <c r="I63" i="27" s="1"/>
  <c r="K15" i="27"/>
  <c r="L15" i="27" s="1"/>
  <c r="O15" i="27"/>
  <c r="P15" i="27" s="1"/>
  <c r="F63" i="27"/>
  <c r="L47" i="27"/>
  <c r="AC15" i="27" l="1"/>
  <c r="AD15" i="27"/>
  <c r="AE15" i="27"/>
  <c r="M15" i="27"/>
  <c r="X15" i="27"/>
  <c r="Y15" i="27"/>
  <c r="Z15" i="27"/>
  <c r="AA15" i="27"/>
  <c r="AB15" i="27"/>
  <c r="AC47" i="27"/>
  <c r="M47" i="27"/>
  <c r="AE47" i="27"/>
  <c r="Y47" i="27"/>
  <c r="AA47" i="27"/>
  <c r="X47" i="27"/>
  <c r="Z47" i="27"/>
  <c r="AB47" i="27"/>
  <c r="AD47" i="27"/>
  <c r="O8" i="27"/>
  <c r="O63" i="27" s="1"/>
  <c r="AH15" i="27" l="1"/>
  <c r="AH47" i="27"/>
  <c r="L10" i="27"/>
  <c r="L11" i="27"/>
  <c r="K8" i="27"/>
  <c r="L16" i="27"/>
  <c r="R8" i="27"/>
  <c r="W8" i="27"/>
  <c r="I14" i="31"/>
  <c r="J15" i="31"/>
  <c r="J14" i="31" s="1"/>
  <c r="N15" i="31"/>
  <c r="N14" i="31" s="1"/>
  <c r="O15" i="31"/>
  <c r="O14" i="31" s="1"/>
  <c r="G17" i="31"/>
  <c r="G22" i="31"/>
  <c r="G24" i="31"/>
  <c r="G31" i="31"/>
  <c r="G35" i="31"/>
  <c r="G39" i="31"/>
  <c r="AC10" i="27" l="1"/>
  <c r="AD10" i="27"/>
  <c r="AE10" i="27"/>
  <c r="X10" i="27"/>
  <c r="Y10" i="27"/>
  <c r="Z10" i="27"/>
  <c r="AA10" i="27"/>
  <c r="AB10" i="27"/>
  <c r="M10" i="27"/>
  <c r="AC16" i="27"/>
  <c r="AD16" i="27"/>
  <c r="AE16" i="27"/>
  <c r="X16" i="27"/>
  <c r="Y16" i="27"/>
  <c r="Z16" i="27"/>
  <c r="AA16" i="27"/>
  <c r="AB16" i="27"/>
  <c r="M16" i="27"/>
  <c r="AC11" i="27"/>
  <c r="AD11" i="27"/>
  <c r="AE11" i="27"/>
  <c r="X11" i="27"/>
  <c r="Y11" i="27"/>
  <c r="Z11" i="27"/>
  <c r="AA11" i="27"/>
  <c r="M11" i="27"/>
  <c r="AB11" i="27"/>
  <c r="F54" i="31"/>
  <c r="Q54" i="31"/>
  <c r="F22" i="31"/>
  <c r="Q22" i="31"/>
  <c r="W63" i="27"/>
  <c r="R63" i="27"/>
  <c r="K63" i="27"/>
  <c r="V8" i="27"/>
  <c r="T8" i="27"/>
  <c r="G15" i="31"/>
  <c r="G14" i="31" s="1"/>
  <c r="AH11" i="27" l="1"/>
  <c r="AH16" i="27"/>
  <c r="AH10" i="27"/>
  <c r="F17" i="31" s="1"/>
  <c r="F18" i="31"/>
  <c r="Q18" i="31"/>
  <c r="X8" i="27"/>
  <c r="F23" i="31"/>
  <c r="Q23" i="31"/>
  <c r="E35" i="31"/>
  <c r="D28" i="32" s="1"/>
  <c r="E28" i="32" s="1"/>
  <c r="E30" i="31"/>
  <c r="D23" i="32" s="1"/>
  <c r="E23" i="32" s="1"/>
  <c r="E21" i="31"/>
  <c r="D14" i="32" s="1"/>
  <c r="E14" i="32" s="1"/>
  <c r="V63" i="27"/>
  <c r="T63" i="27"/>
  <c r="L8" i="27"/>
  <c r="P8" i="27"/>
  <c r="Q17" i="31" l="1"/>
  <c r="Q15" i="31" s="1"/>
  <c r="Q11" i="31" s="1"/>
  <c r="E58" i="31"/>
  <c r="D51" i="32" s="1"/>
  <c r="E51" i="32" s="1"/>
  <c r="E56" i="31"/>
  <c r="D49" i="32" s="1"/>
  <c r="E49" i="32" s="1"/>
  <c r="E55" i="31"/>
  <c r="D48" i="32" s="1"/>
  <c r="E48" i="32" s="1"/>
  <c r="E54" i="31"/>
  <c r="D47" i="32" s="1"/>
  <c r="E47" i="32" s="1"/>
  <c r="E49" i="31"/>
  <c r="D42" i="32" s="1"/>
  <c r="E42" i="32" s="1"/>
  <c r="E47" i="31"/>
  <c r="D40" i="32" s="1"/>
  <c r="E40" i="32" s="1"/>
  <c r="E42" i="31"/>
  <c r="D35" i="32" s="1"/>
  <c r="E35" i="32" s="1"/>
  <c r="E44" i="31"/>
  <c r="D37" i="32" s="1"/>
  <c r="E37" i="32" s="1"/>
  <c r="E46" i="31"/>
  <c r="D39" i="32" s="1"/>
  <c r="E39" i="32" s="1"/>
  <c r="E43" i="31"/>
  <c r="D36" i="32" s="1"/>
  <c r="E36" i="32" s="1"/>
  <c r="E48" i="31"/>
  <c r="D41" i="32" s="1"/>
  <c r="E41" i="32" s="1"/>
  <c r="E45" i="31"/>
  <c r="D38" i="32" s="1"/>
  <c r="E38" i="32" s="1"/>
  <c r="E36" i="31"/>
  <c r="D29" i="32" s="1"/>
  <c r="E29" i="32" s="1"/>
  <c r="E40" i="31"/>
  <c r="D33" i="32" s="1"/>
  <c r="E33" i="32" s="1"/>
  <c r="E39" i="31"/>
  <c r="D32" i="32" s="1"/>
  <c r="E32" i="32" s="1"/>
  <c r="E38" i="31"/>
  <c r="D31" i="32" s="1"/>
  <c r="E31" i="32" s="1"/>
  <c r="E41" i="31"/>
  <c r="D34" i="32" s="1"/>
  <c r="E34" i="32" s="1"/>
  <c r="E37" i="31"/>
  <c r="D30" i="32" s="1"/>
  <c r="E30" i="32" s="1"/>
  <c r="E34" i="31"/>
  <c r="D27" i="32" s="1"/>
  <c r="E27" i="32" s="1"/>
  <c r="E31" i="31"/>
  <c r="D24" i="32" s="1"/>
  <c r="E24" i="32" s="1"/>
  <c r="E32" i="31"/>
  <c r="D25" i="32" s="1"/>
  <c r="E25" i="32" s="1"/>
  <c r="E33" i="31"/>
  <c r="D26" i="32" s="1"/>
  <c r="E26" i="32" s="1"/>
  <c r="E26" i="31"/>
  <c r="D19" i="32" s="1"/>
  <c r="E19" i="32" s="1"/>
  <c r="E25" i="31"/>
  <c r="D18" i="32" s="1"/>
  <c r="E18" i="32" s="1"/>
  <c r="E28" i="31"/>
  <c r="D21" i="32" s="1"/>
  <c r="E21" i="32" s="1"/>
  <c r="E29" i="31"/>
  <c r="D22" i="32" s="1"/>
  <c r="E22" i="32" s="1"/>
  <c r="E19" i="31"/>
  <c r="D12" i="32" s="1"/>
  <c r="E12" i="32" s="1"/>
  <c r="E18" i="31"/>
  <c r="D11" i="32" s="1"/>
  <c r="E11" i="32" s="1"/>
  <c r="E17" i="31"/>
  <c r="D10" i="32" s="1"/>
  <c r="E10" i="32" s="1"/>
  <c r="E20" i="31"/>
  <c r="D13" i="32" s="1"/>
  <c r="E13" i="32" s="1"/>
  <c r="E23" i="31"/>
  <c r="D16" i="32" s="1"/>
  <c r="E16" i="32" s="1"/>
  <c r="E53" i="31"/>
  <c r="D46" i="32" s="1"/>
  <c r="E46" i="32" s="1"/>
  <c r="L63" i="27"/>
  <c r="P63" i="27"/>
  <c r="E51" i="31"/>
  <c r="D44" i="32" s="1"/>
  <c r="E44" i="32" s="1"/>
  <c r="E52" i="31"/>
  <c r="D45" i="32" s="1"/>
  <c r="E45" i="32" s="1"/>
  <c r="E50" i="31"/>
  <c r="D43" i="32" s="1"/>
  <c r="E43" i="32" s="1"/>
  <c r="AH9" i="27"/>
  <c r="M8" i="27"/>
  <c r="M63" i="27" s="1"/>
  <c r="Z8" i="27"/>
  <c r="Z63" i="27" s="1"/>
  <c r="X63" i="27"/>
  <c r="AC8" i="27"/>
  <c r="AC63" i="27" s="1"/>
  <c r="AB8" i="27"/>
  <c r="AB63" i="27" s="1"/>
  <c r="AA8" i="27"/>
  <c r="AA63" i="27" s="1"/>
  <c r="AD8" i="27"/>
  <c r="AD63" i="27" s="1"/>
  <c r="AE8" i="27"/>
  <c r="AE63" i="27" s="1"/>
  <c r="AH8" i="27" l="1"/>
  <c r="F16" i="31"/>
  <c r="E22" i="31"/>
  <c r="D15" i="32" s="1"/>
  <c r="E15" i="32" s="1"/>
  <c r="Y8" i="27"/>
  <c r="Y63" i="27" s="1"/>
  <c r="E16" i="31" l="1"/>
  <c r="D9" i="32" s="1"/>
  <c r="E9" i="32" s="1"/>
  <c r="F15" i="31"/>
  <c r="E57" i="31"/>
  <c r="D50" i="32" s="1"/>
  <c r="E50" i="32" s="1"/>
  <c r="E27" i="31"/>
  <c r="D20" i="32" s="1"/>
  <c r="E20" i="32" s="1"/>
  <c r="E24" i="31"/>
  <c r="D17" i="32" l="1"/>
  <c r="E17" i="32" s="1"/>
  <c r="AH63" i="27"/>
  <c r="E15" i="31"/>
  <c r="F14" i="31"/>
  <c r="E14" i="31" s="1"/>
  <c r="K15" i="31" l="1"/>
  <c r="E62" i="32"/>
  <c r="D62" i="32"/>
</calcChain>
</file>

<file path=xl/sharedStrings.xml><?xml version="1.0" encoding="utf-8"?>
<sst xmlns="http://schemas.openxmlformats.org/spreadsheetml/2006/main" count="741" uniqueCount="378">
  <si>
    <t>STT</t>
  </si>
  <si>
    <t>A</t>
  </si>
  <si>
    <t>B</t>
  </si>
  <si>
    <t>Nguyễn Xuân Thuận</t>
  </si>
  <si>
    <t>Võ Thị Mỹ Dung</t>
  </si>
  <si>
    <t>02.015</t>
  </si>
  <si>
    <t>Trần Quang Thái</t>
  </si>
  <si>
    <t>Nguyễn Tấn Sử</t>
  </si>
  <si>
    <t>Nguyễn Thị Khuyên</t>
  </si>
  <si>
    <t>Trần Thi Thương</t>
  </si>
  <si>
    <t>Nguyễn Văn Thắng</t>
  </si>
  <si>
    <t>Nguyễn Thị Lộc</t>
  </si>
  <si>
    <t>Nguyễn Thị Nguyệt</t>
  </si>
  <si>
    <t>17a.170</t>
  </si>
  <si>
    <t>Lê Thị Thanh Thủy</t>
  </si>
  <si>
    <t>Võ Duy Quý Linh</t>
  </si>
  <si>
    <t>Đoàn Thị Lành</t>
  </si>
  <si>
    <t>Dương Thị Huệ</t>
  </si>
  <si>
    <t>Nông Thị Huyền</t>
  </si>
  <si>
    <t>Thị Thảo Trinh</t>
  </si>
  <si>
    <t>Vũ Thị Ninh</t>
  </si>
  <si>
    <t>Phạm Thị Cầu</t>
  </si>
  <si>
    <t>Hoàng Thị Thúy</t>
  </si>
  <si>
    <t>Kế toán trưởng</t>
  </si>
  <si>
    <t>Lê Thị Thu Hà</t>
  </si>
  <si>
    <t>Nguyễn Thị Xuyên</t>
  </si>
  <si>
    <t>Đàm Thị Tú Trinh</t>
  </si>
  <si>
    <t>Nông Văn Linh</t>
  </si>
  <si>
    <t>Đơn vị: Trường Tiểu Học Thọ Sơn</t>
  </si>
  <si>
    <t>Mẫu số: C02-HD</t>
  </si>
  <si>
    <t>Mã QHNS: 1044510</t>
  </si>
  <si>
    <t>Họ 
và Tên</t>
  </si>
  <si>
    <t>Mã 
nghạch</t>
  </si>
  <si>
    <t>Hệ số 
lương</t>
  </si>
  <si>
    <t>Hệ số phụ cấp chức vụ</t>
  </si>
  <si>
    <t>Hệ số</t>
  </si>
  <si>
    <t>Cộng
 hệ số</t>
  </si>
  <si>
    <t>Tiền 
lương tháng</t>
  </si>
  <si>
    <t>Phụ cấp ưu đãi</t>
  </si>
  <si>
    <t>Ngày hưởng 
lương thực tế</t>
  </si>
  <si>
    <t>BHXH</t>
  </si>
  <si>
    <t>BHYT</t>
  </si>
  <si>
    <t>BHTN</t>
  </si>
  <si>
    <t>KPCĐ</t>
  </si>
  <si>
    <t>Thuế 
TNCN</t>
  </si>
  <si>
    <t>Giảm 
trừ gia cảnh</t>
  </si>
  <si>
    <t>Số 
thực lĩnh</t>
  </si>
  <si>
    <t>Ghi 
chú</t>
  </si>
  <si>
    <t>%</t>
  </si>
  <si>
    <t xml:space="preserve"> phụ 
cấp thâm niên VK</t>
  </si>
  <si>
    <t xml:space="preserve"> phụ 
cấp thâm niên nghề</t>
  </si>
  <si>
    <t>Hệ số tính hượng phụ cấp ưu đãi</t>
  </si>
  <si>
    <t>Số tiền phụ cấp ưu đãi</t>
  </si>
  <si>
    <t>Trừ vào
 lương 8%</t>
  </si>
  <si>
    <t>Trích 
vào CF 3%</t>
  </si>
  <si>
    <t>Trừ vào
 lương 1,5%</t>
  </si>
  <si>
    <t>Trích 
vào CF 1%</t>
  </si>
  <si>
    <t>Trừ vào
 lương 1%</t>
  </si>
  <si>
    <t>Trích 
vào CF 2%</t>
  </si>
  <si>
    <t>C</t>
  </si>
  <si>
    <t>D</t>
  </si>
  <si>
    <t>I</t>
  </si>
  <si>
    <t>Lương biên chế được duyệt</t>
  </si>
  <si>
    <t>Cộng</t>
  </si>
  <si>
    <t>Người lập</t>
  </si>
  <si>
    <t>Thủ trưởng đơn vị</t>
  </si>
  <si>
    <t>(Ký, họ tên)</t>
  </si>
  <si>
    <t>Trương Thị Oanh</t>
  </si>
  <si>
    <t>BHTNLĐ-BNN</t>
  </si>
  <si>
    <t>Trích 
vào CF 17%</t>
  </si>
  <si>
    <t>Trích 
vào CF 0,5%</t>
  </si>
  <si>
    <t>Nguyễn Thị Hoa</t>
  </si>
  <si>
    <t>Đoàn Thi Hoa</t>
  </si>
  <si>
    <t>Phụ cấp khu vực 0,5</t>
  </si>
  <si>
    <t>Phụ cấp trách nhiệm</t>
  </si>
  <si>
    <t>Phụ cấp độc hại</t>
  </si>
  <si>
    <t>Số tiền</t>
  </si>
  <si>
    <t>Điểu Bers</t>
  </si>
  <si>
    <t>BẢNG THANH TOÁN CHO ĐỐI TƯỢNG THỤ HƯỞNG</t>
  </si>
  <si>
    <t xml:space="preserve">Tài khoản tiền gửi </t>
  </si>
  <si>
    <t>Tài khoản ngân hàng</t>
  </si>
  <si>
    <t>Trong đó</t>
  </si>
  <si>
    <t>Số tài khoản người hưởng</t>
  </si>
  <si>
    <t>Tên ngân hàng</t>
  </si>
  <si>
    <t>Lương và Phụ cấp theo lương</t>
  </si>
  <si>
    <t xml:space="preserve">Tổng số </t>
  </si>
  <si>
    <t>II</t>
  </si>
  <si>
    <t>II. Phần thuyết minh thay đổi so với tháng trước:</t>
  </si>
  <si>
    <t>Nguyễn Thị Xuân</t>
  </si>
  <si>
    <t>Nguyễn Thị Thanh Bình</t>
  </si>
  <si>
    <t>V.07.03.08</t>
  </si>
  <si>
    <t>21</t>
  </si>
  <si>
    <t>17</t>
  </si>
  <si>
    <t>Nguyễn Văn Cường</t>
  </si>
  <si>
    <t>Nguyễn Thị Hồng Việt</t>
  </si>
  <si>
    <t>Nguyễn Thị Trúc Linh</t>
  </si>
  <si>
    <t>Trần Thị Thủy</t>
  </si>
  <si>
    <t>19</t>
  </si>
  <si>
    <t>Nguyễn Thị Thu Hương</t>
  </si>
  <si>
    <t>20</t>
  </si>
  <si>
    <t>Phạm Thị Ngắm</t>
  </si>
  <si>
    <t>16</t>
  </si>
  <si>
    <t>Bùi Tấn Nam</t>
  </si>
  <si>
    <t>13</t>
  </si>
  <si>
    <t>Đặng Thị Mỹ Hạnh</t>
  </si>
  <si>
    <t>12</t>
  </si>
  <si>
    <t>11</t>
  </si>
  <si>
    <t>Nguyễn Đức Khánh</t>
  </si>
  <si>
    <t>10</t>
  </si>
  <si>
    <t>8</t>
  </si>
  <si>
    <t>Điểu Drú</t>
  </si>
  <si>
    <t>6</t>
  </si>
  <si>
    <t>Bùi Thị Duyên</t>
  </si>
  <si>
    <t>V.07.03.09</t>
  </si>
  <si>
    <t>Đỗ Văn Tùng</t>
  </si>
  <si>
    <t>16b.121</t>
  </si>
  <si>
    <t>Trần Thị Thương</t>
  </si>
  <si>
    <t>Mẫu số :09</t>
  </si>
  <si>
    <t>Mã hiệu : ………….</t>
  </si>
  <si>
    <t>Ghi chú</t>
  </si>
  <si>
    <t>Tiền thưởng</t>
  </si>
  <si>
    <t>Tiền phụ cấp và trợ cấp khác</t>
  </si>
  <si>
    <t>Tiền học bổng</t>
  </si>
  <si>
    <t>V.07.03.07</t>
  </si>
  <si>
    <t>Giao dịch viên</t>
  </si>
  <si>
    <t>Đơn vị: TRƯỜNG TIỂU HỌC THỌ SƠN</t>
  </si>
  <si>
    <t>Địa chỉ: Thôn Sơn Lợi, xã Thọ Sơn, huyện Bù Đăng, tỉnh Bình Phước</t>
  </si>
  <si>
    <t>Số TT</t>
  </si>
  <si>
    <t>Họ và tên</t>
  </si>
  <si>
    <t>Số tài khoản</t>
  </si>
  <si>
    <t>Tổng nhận</t>
  </si>
  <si>
    <t>Tổng cộng</t>
  </si>
  <si>
    <t>Kế toán</t>
  </si>
  <si>
    <t xml:space="preserve">       Thủ trưởng đơn vị</t>
  </si>
  <si>
    <t>18</t>
  </si>
  <si>
    <t>7</t>
  </si>
  <si>
    <t>9</t>
  </si>
  <si>
    <t>1</t>
  </si>
  <si>
    <t>2</t>
  </si>
  <si>
    <t>3</t>
  </si>
  <si>
    <t>4</t>
  </si>
  <si>
    <t>5</t>
  </si>
  <si>
    <t>14</t>
  </si>
  <si>
    <t>15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</si>
  <si>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</si>
  <si>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</si>
  <si>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</si>
  <si>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</si>
  <si>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</si>
  <si>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</si>
  <si>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</si>
  <si>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</si>
  <si>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</si>
  <si>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</si>
  <si>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</si>
  <si>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</si>
  <si>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</si>
  <si>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</si>
  <si>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</si>
  <si>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</si>
  <si>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</si>
  <si>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</si>
  <si>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</si>
  <si>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</si>
  <si>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</si>
  <si>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</si>
  <si>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</si>
  <si>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</si>
  <si>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</si>
  <si>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</si>
  <si>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</si>
  <si>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</si>
  <si>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 xml:space="preserve">Nguyễn Lục Anh </t>
  </si>
  <si>
    <t>Nguyễn Thị Lệ Thuyền</t>
  </si>
  <si>
    <t xml:space="preserve">Nguyễn Thị Lệ Thuyền </t>
  </si>
  <si>
    <t>06031</t>
  </si>
  <si>
    <t xml:space="preserve">Thời gian nâng lương lần sau </t>
  </si>
  <si>
    <t xml:space="preserve">Thời gian hết tập sự </t>
  </si>
  <si>
    <t>3/2004</t>
  </si>
  <si>
    <t>3/1999</t>
  </si>
  <si>
    <t>4/2005</t>
  </si>
  <si>
    <t>3/2000</t>
  </si>
  <si>
    <t>3/2006</t>
  </si>
  <si>
    <t>4/1998</t>
  </si>
  <si>
    <t>9/1996</t>
  </si>
  <si>
    <t>3/2007</t>
  </si>
  <si>
    <t>3/2002</t>
  </si>
  <si>
    <t>9/1994</t>
  </si>
  <si>
    <t>3/2009</t>
  </si>
  <si>
    <t>9/2010</t>
  </si>
  <si>
    <t>4/2012</t>
  </si>
  <si>
    <t>16/3/2016</t>
  </si>
  <si>
    <t>3/2001</t>
  </si>
  <si>
    <t>02/2017</t>
  </si>
  <si>
    <t>3/2010</t>
  </si>
  <si>
    <t>3/2021</t>
  </si>
  <si>
    <t>11/2020</t>
  </si>
  <si>
    <t>3/2020</t>
  </si>
  <si>
    <t>1.Đơn vị sử dụng ngân sách : Trường Tiểu Học Thọ Sơn</t>
  </si>
  <si>
    <t>2. Mã đơn vị: 1044510</t>
  </si>
  <si>
    <t>4/2011</t>
  </si>
  <si>
    <t xml:space="preserve">Đặng Thị Thảo </t>
  </si>
  <si>
    <t>Phụ cấ
p Lưu động,  0,2</t>
  </si>
  <si>
    <t>9/2021</t>
  </si>
  <si>
    <t>SĐT DĐ: 0385513544</t>
  </si>
  <si>
    <t xml:space="preserve">      (Ký, họ tên, đóng dấu)</t>
  </si>
  <si>
    <t>DANH SÁCH CBCNV CHI LƯƠNG QUA NGÂN HÀNG AGRIBANK CHI NHÁNH BÙ ĐĂNG -BP</t>
  </si>
  <si>
    <t xml:space="preserve">Trần Thị Xuân Tuyền </t>
  </si>
  <si>
    <t xml:space="preserve">Thị Sâm </t>
  </si>
  <si>
    <t>5606205366872</t>
  </si>
  <si>
    <t>5606205221199</t>
  </si>
  <si>
    <t>5606205130540</t>
  </si>
  <si>
    <t xml:space="preserve">Lý A Kiệm </t>
  </si>
  <si>
    <t xml:space="preserve">Nguyễn Thị Vân </t>
  </si>
  <si>
    <t>11/2017</t>
  </si>
  <si>
    <t xml:space="preserve">Trần Thị Thúy Diễm </t>
  </si>
  <si>
    <t xml:space="preserve">Agribank Bù Đăng </t>
  </si>
  <si>
    <t>5606205340278</t>
  </si>
  <si>
    <t>5606215000461</t>
  </si>
  <si>
    <t>5606205204227</t>
  </si>
  <si>
    <t>5606215000563</t>
  </si>
  <si>
    <t>5606205036490</t>
  </si>
  <si>
    <t>5606215002076</t>
  </si>
  <si>
    <t>5606205030124</t>
  </si>
  <si>
    <t>5606938393939</t>
  </si>
  <si>
    <t>5606205030074</t>
  </si>
  <si>
    <t>5606205064858</t>
  </si>
  <si>
    <t>5606205055755</t>
  </si>
  <si>
    <t>5606205271384</t>
  </si>
  <si>
    <t>5606205071410</t>
  </si>
  <si>
    <t>5606205225358</t>
  </si>
  <si>
    <t>5606205032011</t>
  </si>
  <si>
    <t>5606205003150</t>
  </si>
  <si>
    <t>5606205024899</t>
  </si>
  <si>
    <t>5606215003085</t>
  </si>
  <si>
    <t>5606205292247</t>
  </si>
  <si>
    <t>5606215000449</t>
  </si>
  <si>
    <t>5606205184526</t>
  </si>
  <si>
    <t>Tiền thu nhập tăng thêm</t>
  </si>
  <si>
    <t xml:space="preserve">3. Tài khoản thanh toán của đơn vị mở tại ngân hàng thương mại  5606201000498   Tại Ngân hàng Nông Nghiệp phát triển Nông Thôn Việt Nam - chi Nhánh Huyện Bù Đăng  Tỉnh Bình Phước </t>
  </si>
  <si>
    <t>Đơn vị : Đồng</t>
  </si>
  <si>
    <t>(1)</t>
  </si>
  <si>
    <t>Tiền khoán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</si>
  <si>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</si>
  <si>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</si>
  <si>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</si>
  <si>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</si>
  <si>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</si>
  <si>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</si>
  <si>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</si>
  <si>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</si>
  <si>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</si>
  <si>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</si>
  <si>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</si>
  <si>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(Ký, ghi rõ họ tên)</t>
  </si>
  <si>
    <t>(Ký, ghi rõ họ tên, đóng dấu)</t>
  </si>
  <si>
    <t xml:space="preserve">                               KHO BẠC NHA NƯỚC</t>
  </si>
  <si>
    <t xml:space="preserve">                       Kế toán trưởng</t>
  </si>
  <si>
    <t>03/2022</t>
  </si>
  <si>
    <t>16/3/2022</t>
  </si>
  <si>
    <t xml:space="preserve">Tài khoản dự toán       </t>
  </si>
  <si>
    <t xml:space="preserve">                                      Giám đốc KBNN huyện Bù Đăng</t>
  </si>
  <si>
    <t>Đơn vị: Đồng</t>
  </si>
  <si>
    <t>Điểu Đer</t>
  </si>
  <si>
    <t xml:space="preserve">Nguyễn Xuân Kha </t>
  </si>
  <si>
    <t xml:space="preserve">Hồ Thị Quế </t>
  </si>
  <si>
    <t>9/2022</t>
  </si>
  <si>
    <t>5606215000881</t>
  </si>
  <si>
    <t>5606215008151</t>
  </si>
  <si>
    <t>5606215007982</t>
  </si>
  <si>
    <t>3/2005</t>
  </si>
  <si>
    <t>01,011</t>
  </si>
  <si>
    <t>01,009</t>
  </si>
  <si>
    <t>24/10/2022</t>
  </si>
  <si>
    <t>5606205372070</t>
  </si>
  <si>
    <t>5606205372064</t>
  </si>
  <si>
    <t>11/10/2022</t>
  </si>
  <si>
    <t>Đối với công chức, viên chức</t>
  </si>
  <si>
    <t>9/2006</t>
  </si>
  <si>
    <t>4/2013</t>
  </si>
  <si>
    <t>Đối với lao động hợp đồng thực hiện công việc hỗ trợ,
 phục vụ theo nghị định 111/2022/NĐ-CP</t>
  </si>
  <si>
    <t>Tiền công lao động theo hợp đồng</t>
  </si>
  <si>
    <t>Đối với lao động hợp đồng thực hiện công việc hỗ trợ, phục vụ theo nghị định 111/2022/NĐ-CP</t>
  </si>
  <si>
    <t xml:space="preserve">Trần Thị Xuân Tuyền  </t>
  </si>
  <si>
    <t>III</t>
  </si>
  <si>
    <t>9/2023</t>
  </si>
  <si>
    <t>Đối với hợp đồng thực hiện công việc chuyên môn,nghiệp vụ trong đơn vị sự nghiệp công lập theo Nghị định số 111/2022/NĐ-CP</t>
  </si>
  <si>
    <t>5%</t>
  </si>
  <si>
    <t>Giảm tiền lương đối với lao động hợp đồng truy thu phụ cấp khu vực từ tháng 04 đến 05 năm 2023, 02 người:    2.980.000 đồng</t>
  </si>
  <si>
    <t xml:space="preserve">                                                         Bù Đăng, ngày     tháng      năm 2024</t>
  </si>
  <si>
    <t xml:space="preserve">           Nguyên nhân: </t>
  </si>
  <si>
    <t>24/04/2024</t>
  </si>
  <si>
    <t>Số tài khoản đơn vị:  5606201000498 - Tại Ngân hàng Nông Nghiệp Phát Triển Nông Thôn Việt Nam - chi nhánh Huyện Bù Đăng Bình Phước</t>
  </si>
  <si>
    <t>01/12/2022</t>
  </si>
  <si>
    <t>01/9/2021</t>
  </si>
  <si>
    <t>01/7/2022</t>
  </si>
  <si>
    <t>01/09/2023</t>
  </si>
  <si>
    <t>1/6/2022</t>
  </si>
  <si>
    <t>1/8/2023</t>
  </si>
  <si>
    <t>01/11/2021</t>
  </si>
  <si>
    <t>1/05/2023</t>
  </si>
  <si>
    <t>01/4/2021</t>
  </si>
  <si>
    <t>01/4/2022</t>
  </si>
  <si>
    <t>01/3/2021</t>
  </si>
  <si>
    <t>1/6/2023</t>
  </si>
  <si>
    <t>01/06/2023</t>
  </si>
  <si>
    <t>1/3/2023</t>
  </si>
  <si>
    <t>1/1/2023</t>
  </si>
  <si>
    <t>01/12/2023</t>
  </si>
  <si>
    <t>5/4/2023</t>
  </si>
  <si>
    <t>1/9/2022</t>
  </si>
  <si>
    <t>1/5/2023</t>
  </si>
  <si>
    <t>1/1/2024</t>
  </si>
  <si>
    <t>1/05/2024</t>
  </si>
  <si>
    <t>01/11/2023</t>
  </si>
  <si>
    <t>10/02/2023</t>
  </si>
  <si>
    <t>10/08/2023</t>
  </si>
  <si>
    <t>V.07.03.29</t>
  </si>
  <si>
    <t>V.07.03.28</t>
  </si>
  <si>
    <t>01/02/2024</t>
  </si>
  <si>
    <t>1/2/2024</t>
  </si>
  <si>
    <t xml:space="preserve">Trương Văn Mỹ </t>
  </si>
  <si>
    <t>6%</t>
  </si>
  <si>
    <t>3/2024</t>
  </si>
  <si>
    <t>5606215007924</t>
  </si>
  <si>
    <t>2/2023</t>
  </si>
  <si>
    <t>8/2023</t>
  </si>
  <si>
    <t>BẢNG THANH TOÁN TIỀN LƯƠNG VÀ CÁC KHOẢN PHỤ CẤP THEO LƯƠNG, CÁC KHOẢN TRÍCH NỘP THEO LƯƠNG
Tháng 08 năm 2024</t>
  </si>
  <si>
    <t xml:space="preserve">Nghỉ hậu sản tháng thứ hai </t>
  </si>
  <si>
    <t>Thọ sơn, ngày  2 tháng  08 năm 2024</t>
  </si>
  <si>
    <t>Số:  09</t>
  </si>
  <si>
    <t xml:space="preserve">I. Nội dung đề nghị thanh toán: Lương và phụ cấp theo lương, tiền công lao động theo hợp đồng tháng 08/2024 </t>
  </si>
  <si>
    <t xml:space="preserve">Gỉam truy lĩnh lương chuyển chức danh nghề nghiệp và xếp lương cho giáo viên 38 người :  69.877.354 đồng </t>
  </si>
  <si>
    <t xml:space="preserve">           Tổng số tiền rút tháng trước :  853.023.805 đồng </t>
  </si>
  <si>
    <t xml:space="preserve">Giảm 424.496 đồng </t>
  </si>
  <si>
    <t>Giảm 141.499 đồng</t>
  </si>
  <si>
    <t>Giảm  434.163 đồng</t>
  </si>
  <si>
    <t>Giảm 139.887 đồng</t>
  </si>
  <si>
    <t>Giảm 9.210.584 đồng</t>
  </si>
  <si>
    <t>Giảm 289.442 đồng</t>
  </si>
  <si>
    <t>Giảm 736.492 đồng</t>
  </si>
  <si>
    <t>Giảm 139.243 đồng</t>
  </si>
  <si>
    <t>Giảm 2.749.428 đồng</t>
  </si>
  <si>
    <t>Giảm 2.781.648 đồng</t>
  </si>
  <si>
    <t>Giảm 136.021 đồng</t>
  </si>
  <si>
    <t>Giảm 4.046.814 đồng</t>
  </si>
  <si>
    <t>Giảm 582.106 đồng</t>
  </si>
  <si>
    <t>Giảm 143.110 đồng</t>
  </si>
  <si>
    <t>Giảm 595.638 đồng</t>
  </si>
  <si>
    <t>Giảm 585.972 đồng</t>
  </si>
  <si>
    <t>Giảm 3.686.810 đồng</t>
  </si>
  <si>
    <t>Giảm 436.579 đồng</t>
  </si>
  <si>
    <t>Giảm 431.747 đồng</t>
  </si>
  <si>
    <t>Giảm 578.883 đồng</t>
  </si>
  <si>
    <t>Giảm 4.373.309 đồng</t>
  </si>
  <si>
    <t>Giảm 569.862 đồng</t>
  </si>
  <si>
    <t>Giảm 4.701.415 đồng</t>
  </si>
  <si>
    <t>Giảm 956.661 đồng</t>
  </si>
  <si>
    <t>Giảm 4.008.150 đồng</t>
  </si>
  <si>
    <t>Giảm 2.754.958 đồng</t>
  </si>
  <si>
    <t>Giảm 3.650.724 đồng</t>
  </si>
  <si>
    <t>Giảm 3.762.744 đồng</t>
  </si>
  <si>
    <t>Giảm 434.646 đồng</t>
  </si>
  <si>
    <t>Giảm 422.080 đồng</t>
  </si>
  <si>
    <t>Giảm 3.013.200 đồng</t>
  </si>
  <si>
    <t>Tổng số</t>
  </si>
  <si>
    <t>Kỳ Lương tháng 08/2024</t>
  </si>
  <si>
    <t xml:space="preserve">Lương T8/2024 </t>
  </si>
  <si>
    <t>( Kèm theo giấy rút dự toán/ ủy nhiệm chi số : 81 ngày 02 tháng 8 năm 2024)</t>
  </si>
  <si>
    <t>Thọ Sơn, ngày 02 tháng 08 năm 2024</t>
  </si>
  <si>
    <t xml:space="preserve">                      Thọ sơn, ngày 02 tháng  08 năm 2024</t>
  </si>
  <si>
    <t>Giảm khối trưởng 01 người: 765.952 đồng</t>
  </si>
  <si>
    <t xml:space="preserve">Tăng khối trưởng 01 người: 715.689 đồng </t>
  </si>
  <si>
    <t xml:space="preserve">           Tổng số tiền rút tháng này giảm so với tháng trước:  69.927.617 đồng</t>
  </si>
  <si>
    <t>Giảm 3.683.396 đồng</t>
  </si>
  <si>
    <t>Giảm 1.355.146 đồng</t>
  </si>
  <si>
    <t>Tổng số tiền bằng chữ:  Bảy trăm tám mươi ba triệu, không trăm chín mươi sáu ngàn, một trăm tám mươi tám đồng.</t>
  </si>
  <si>
    <t>Tổng số tiền bằng chữ: Bảy trăm tám mươi ba triệu, không trăm chín mươi sáu ngàn, một trăm tám mươi tám đồng.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</si>
</sst>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₫_-;\-* #,##0.00\ _₫_-;_-* &quot;-&quot;??\ _₫_-;_-@_-"/>
    <numFmt numFmtId="165" formatCode="_-* #,##0_-;\-* #,##0_-;_-* &quot;-&quot;_-;_-@_-"/>
    <numFmt numFmtId="166" formatCode="_-* #,##0.00_-;\-* #,##0.00_-;_-* &quot;-&quot;??_-;_-@_-"/>
    <numFmt numFmtId="167" formatCode="[$$-409]#,##0.00;[Red]&quot;-&quot;[$$-409]#,##0.00"/>
    <numFmt numFmtId="168" formatCode="_-* #,##0_-;\-* #,##0_-;_-* &quot;-&quot;??_-;_-@_-"/>
    <numFmt numFmtId="169" formatCode="#,##0.0"/>
    <numFmt numFmtId="170" formatCode="0.0"/>
    <numFmt numFmtId="171" formatCode="_-* #,##0.0_-;\-* #,##0.0_-;_-* &quot;-&quot;??_-;_-@_-"/>
    <numFmt numFmtId="172" formatCode="_(* #,##0_);_(* \(#,##0\);_(* &quot;-&quot;??_);_(@_)"/>
    <numFmt numFmtId="174" formatCode="0.0%"/>
    <numFmt numFmtId="175" formatCode="#,##0.0000"/>
    <numFmt numFmtId="176" formatCode="#,##0.000"/>
    <numFmt numFmtId="178" formatCode="0.000"/>
  </numFmts>
  <fonts count="43" x14ac:knownFonts="1">
    <font>
      <sz val="12"/>
      <color theme="1"/>
      <name val="Arial"/>
      <family val="2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9"/>
      <name val="Times New Roman"/>
      <family val="1"/>
      <charset val="163"/>
    </font>
    <font>
      <b/>
      <sz val="9"/>
      <name val="Times New Roman"/>
      <family val="1"/>
      <charset val="163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sz val="7"/>
      <name val="Times New Roman"/>
      <family val="1"/>
      <charset val="163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Times New Roman"/>
      <family val="1"/>
      <charset val="163"/>
    </font>
    <font>
      <sz val="8"/>
      <name val="Arial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2"/>
      <name val="Arial"/>
      <family val="2"/>
    </font>
    <font>
      <i/>
      <sz val="14"/>
      <name val="Times New Roman"/>
      <family val="1"/>
    </font>
    <font>
      <b/>
      <sz val="12"/>
      <name val="Arial"/>
      <family val="2"/>
      <charset val="163"/>
    </font>
    <font>
      <sz val="15"/>
      <color theme="1"/>
      <name val="Times New Roman"/>
      <family val="2"/>
    </font>
    <font>
      <sz val="22"/>
      <name val="Times New Roman"/>
      <family val="1"/>
    </font>
    <font>
      <sz val="11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i/>
      <sz val="11"/>
      <name val="Times New Roman"/>
      <family val="1"/>
      <charset val="163"/>
    </font>
    <font>
      <u/>
      <sz val="14"/>
      <name val="Times New Roman"/>
      <family val="1"/>
    </font>
    <font>
      <sz val="13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b/>
      <u/>
      <sz val="14"/>
      <name val="Times New Roman"/>
      <family val="1"/>
      <charset val="163"/>
    </font>
    <font>
      <sz val="10"/>
      <name val="Calibri"/>
      <family val="2"/>
      <scheme val="minor"/>
    </font>
    <font>
      <b/>
      <sz val="8"/>
      <name val="Times New Roman"/>
      <family val="1"/>
      <charset val="163"/>
    </font>
    <font>
      <sz val="9"/>
      <name val="VNI-Times"/>
    </font>
    <font>
      <i/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>
      <alignment horizontal="center"/>
    </xf>
    <xf numFmtId="0" fontId="21" fillId="0" borderId="0">
      <alignment horizontal="center" textRotation="90"/>
    </xf>
    <xf numFmtId="0" fontId="14" fillId="0" borderId="0"/>
    <xf numFmtId="9" fontId="20" fillId="0" borderId="0" applyFont="0" applyFill="0" applyBorder="0" applyAlignment="0" applyProtection="0"/>
    <xf numFmtId="0" fontId="22" fillId="0" borderId="0"/>
    <xf numFmtId="167" fontId="22" fillId="0" borderId="0"/>
    <xf numFmtId="0" fontId="30" fillId="0" borderId="0"/>
    <xf numFmtId="0" fontId="36" fillId="0" borderId="0"/>
  </cellStyleXfs>
  <cellXfs count="366">
    <xf numFmtId="0" fontId="0" fillId="0" borderId="0" xfId="0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3" fontId="3" fillId="0" borderId="2" xfId="0" applyNumberFormat="1" applyFont="1" applyBorder="1"/>
    <xf numFmtId="0" fontId="11" fillId="0" borderId="2" xfId="0" applyFont="1" applyBorder="1"/>
    <xf numFmtId="3" fontId="6" fillId="0" borderId="0" xfId="0" applyNumberFormat="1" applyFont="1"/>
    <xf numFmtId="0" fontId="3" fillId="0" borderId="6" xfId="0" applyFont="1" applyBorder="1" applyAlignment="1">
      <alignment horizontal="center"/>
    </xf>
    <xf numFmtId="165" fontId="15" fillId="0" borderId="2" xfId="2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/>
    <xf numFmtId="0" fontId="15" fillId="0" borderId="2" xfId="0" applyFont="1" applyBorder="1"/>
    <xf numFmtId="3" fontId="15" fillId="0" borderId="2" xfId="0" applyNumberFormat="1" applyFont="1" applyBorder="1"/>
    <xf numFmtId="3" fontId="19" fillId="0" borderId="0" xfId="0" applyNumberFormat="1" applyFont="1"/>
    <xf numFmtId="0" fontId="19" fillId="0" borderId="0" xfId="0" applyFont="1"/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27" fillId="0" borderId="0" xfId="0" applyFont="1"/>
    <xf numFmtId="0" fontId="16" fillId="0" borderId="0" xfId="0" applyFont="1"/>
    <xf numFmtId="0" fontId="9" fillId="0" borderId="0" xfId="0" applyFont="1"/>
    <xf numFmtId="0" fontId="11" fillId="0" borderId="2" xfId="0" applyFont="1" applyBorder="1" applyAlignment="1">
      <alignment horizontal="left" wrapText="1"/>
    </xf>
    <xf numFmtId="3" fontId="19" fillId="0" borderId="0" xfId="0" applyNumberFormat="1" applyFont="1" applyAlignment="1">
      <alignment horizontal="center"/>
    </xf>
    <xf numFmtId="0" fontId="10" fillId="0" borderId="0" xfId="0" applyFont="1"/>
    <xf numFmtId="1" fontId="1" fillId="0" borderId="2" xfId="0" quotePrefix="1" applyNumberFormat="1" applyFont="1" applyBorder="1" applyAlignment="1">
      <alignment horizontal="right" wrapText="1"/>
    </xf>
    <xf numFmtId="1" fontId="1" fillId="0" borderId="2" xfId="0" quotePrefix="1" applyNumberFormat="1" applyFont="1" applyBorder="1" applyAlignment="1">
      <alignment horizontal="right"/>
    </xf>
    <xf numFmtId="1" fontId="1" fillId="2" borderId="2" xfId="1" applyNumberFormat="1" applyFont="1" applyFill="1" applyBorder="1" applyAlignment="1">
      <alignment horizontal="right" wrapText="1"/>
    </xf>
    <xf numFmtId="1" fontId="1" fillId="2" borderId="2" xfId="0" quotePrefix="1" applyNumberFormat="1" applyFont="1" applyFill="1" applyBorder="1" applyAlignment="1">
      <alignment horizontal="right"/>
    </xf>
    <xf numFmtId="1" fontId="1" fillId="2" borderId="2" xfId="0" applyNumberFormat="1" applyFont="1" applyFill="1" applyBorder="1" applyAlignment="1">
      <alignment horizontal="right" wrapText="1"/>
    </xf>
    <xf numFmtId="1" fontId="1" fillId="2" borderId="2" xfId="1" quotePrefix="1" applyNumberFormat="1" applyFont="1" applyFill="1" applyBorder="1" applyAlignment="1">
      <alignment horizontal="right" wrapText="1"/>
    </xf>
    <xf numFmtId="164" fontId="12" fillId="0" borderId="2" xfId="1" quotePrefix="1" applyNumberFormat="1" applyFont="1" applyFill="1" applyBorder="1" applyAlignment="1">
      <alignment horizontal="right" wrapText="1"/>
    </xf>
    <xf numFmtId="0" fontId="8" fillId="0" borderId="0" xfId="0" applyFont="1"/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" fillId="2" borderId="2" xfId="0" applyFont="1" applyFill="1" applyBorder="1"/>
    <xf numFmtId="0" fontId="3" fillId="2" borderId="18" xfId="0" quotePrefix="1" applyFont="1" applyFill="1" applyBorder="1" applyAlignment="1">
      <alignment horizontal="right"/>
    </xf>
    <xf numFmtId="0" fontId="16" fillId="0" borderId="18" xfId="0" applyFont="1" applyBorder="1"/>
    <xf numFmtId="0" fontId="35" fillId="0" borderId="0" xfId="0" applyFont="1"/>
    <xf numFmtId="0" fontId="6" fillId="0" borderId="0" xfId="0" applyFont="1" applyAlignment="1">
      <alignment horizontal="center"/>
    </xf>
    <xf numFmtId="0" fontId="3" fillId="0" borderId="22" xfId="0" applyFont="1" applyBorder="1"/>
    <xf numFmtId="0" fontId="3" fillId="2" borderId="22" xfId="0" quotePrefix="1" applyFont="1" applyFill="1" applyBorder="1" applyAlignment="1">
      <alignment horizontal="right"/>
    </xf>
    <xf numFmtId="0" fontId="16" fillId="0" borderId="22" xfId="0" applyFont="1" applyBorder="1"/>
    <xf numFmtId="0" fontId="3" fillId="2" borderId="22" xfId="0" applyFont="1" applyFill="1" applyBorder="1"/>
    <xf numFmtId="1" fontId="1" fillId="2" borderId="22" xfId="0" applyNumberFormat="1" applyFont="1" applyFill="1" applyBorder="1" applyAlignment="1">
      <alignment horizontal="right" wrapText="1"/>
    </xf>
    <xf numFmtId="1" fontId="1" fillId="2" borderId="3" xfId="1" quotePrefix="1" applyNumberFormat="1" applyFont="1" applyFill="1" applyBorder="1" applyAlignment="1">
      <alignment horizontal="right" wrapText="1"/>
    </xf>
    <xf numFmtId="0" fontId="1" fillId="0" borderId="22" xfId="0" quotePrefix="1" applyFont="1" applyBorder="1" applyAlignment="1">
      <alignment horizontal="right" wrapText="1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" fontId="6" fillId="0" borderId="0" xfId="0" applyNumberFormat="1" applyFont="1" applyFill="1"/>
    <xf numFmtId="0" fontId="4" fillId="0" borderId="1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4" fillId="0" borderId="4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4" fontId="40" fillId="0" borderId="2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vertical="center"/>
    </xf>
    <xf numFmtId="175" fontId="4" fillId="0" borderId="2" xfId="0" applyNumberFormat="1" applyFont="1" applyFill="1" applyBorder="1" applyAlignment="1">
      <alignment vertical="center"/>
    </xf>
    <xf numFmtId="172" fontId="4" fillId="0" borderId="2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169" fontId="4" fillId="0" borderId="2" xfId="0" applyNumberFormat="1" applyFont="1" applyFill="1" applyBorder="1" applyAlignment="1">
      <alignment vertical="center"/>
    </xf>
    <xf numFmtId="0" fontId="3" fillId="0" borderId="2" xfId="0" quotePrefix="1" applyFont="1" applyFill="1" applyBorder="1" applyAlignment="1">
      <alignment horizontal="center"/>
    </xf>
    <xf numFmtId="0" fontId="3" fillId="0" borderId="2" xfId="0" applyFont="1" applyFill="1" applyBorder="1"/>
    <xf numFmtId="3" fontId="3" fillId="0" borderId="2" xfId="0" applyNumberFormat="1" applyFont="1" applyFill="1" applyBorder="1" applyAlignment="1">
      <alignment horizontal="center"/>
    </xf>
    <xf numFmtId="17" fontId="17" fillId="0" borderId="2" xfId="0" quotePrefix="1" applyNumberFormat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4" fontId="3" fillId="0" borderId="2" xfId="0" applyNumberFormat="1" applyFont="1" applyFill="1" applyBorder="1"/>
    <xf numFmtId="170" fontId="3" fillId="0" borderId="2" xfId="0" applyNumberFormat="1" applyFont="1" applyFill="1" applyBorder="1"/>
    <xf numFmtId="175" fontId="3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/>
    <xf numFmtId="9" fontId="3" fillId="0" borderId="2" xfId="0" applyNumberFormat="1" applyFont="1" applyFill="1" applyBorder="1" applyAlignment="1"/>
    <xf numFmtId="0" fontId="3" fillId="0" borderId="2" xfId="0" applyFont="1" applyFill="1" applyBorder="1" applyAlignment="1">
      <alignment horizontal="center"/>
    </xf>
    <xf numFmtId="169" fontId="3" fillId="0" borderId="2" xfId="0" applyNumberFormat="1" applyFont="1" applyFill="1" applyBorder="1"/>
    <xf numFmtId="3" fontId="3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/>
    <xf numFmtId="3" fontId="17" fillId="0" borderId="2" xfId="0" quotePrefix="1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/>
    <xf numFmtId="170" fontId="3" fillId="0" borderId="2" xfId="0" applyNumberFormat="1" applyFont="1" applyFill="1" applyBorder="1" applyAlignment="1"/>
    <xf numFmtId="1" fontId="3" fillId="0" borderId="2" xfId="0" quotePrefix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1" fontId="3" fillId="0" borderId="2" xfId="0" applyNumberFormat="1" applyFont="1" applyFill="1" applyBorder="1" applyAlignment="1">
      <alignment horizontal="center"/>
    </xf>
    <xf numFmtId="4" fontId="3" fillId="0" borderId="22" xfId="0" applyNumberFormat="1" applyFont="1" applyFill="1" applyBorder="1"/>
    <xf numFmtId="3" fontId="3" fillId="0" borderId="22" xfId="0" applyNumberFormat="1" applyFont="1" applyFill="1" applyBorder="1" applyAlignment="1">
      <alignment horizontal="center"/>
    </xf>
    <xf numFmtId="175" fontId="3" fillId="0" borderId="2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horizontal="right"/>
    </xf>
    <xf numFmtId="169" fontId="3" fillId="0" borderId="2" xfId="0" applyNumberFormat="1" applyFont="1" applyFill="1" applyBorder="1" applyAlignment="1"/>
    <xf numFmtId="0" fontId="11" fillId="0" borderId="2" xfId="0" applyFont="1" applyFill="1" applyBorder="1" applyAlignment="1">
      <alignment wrapText="1"/>
    </xf>
    <xf numFmtId="9" fontId="12" fillId="0" borderId="2" xfId="0" applyNumberFormat="1" applyFont="1" applyFill="1" applyBorder="1" applyAlignment="1">
      <alignment horizontal="center"/>
    </xf>
    <xf numFmtId="175" fontId="39" fillId="0" borderId="2" xfId="0" applyNumberFormat="1" applyFont="1" applyFill="1" applyBorder="1" applyAlignment="1"/>
    <xf numFmtId="0" fontId="6" fillId="0" borderId="0" xfId="0" applyFont="1" applyFill="1" applyAlignment="1"/>
    <xf numFmtId="4" fontId="3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right"/>
    </xf>
    <xf numFmtId="0" fontId="1" fillId="0" borderId="2" xfId="0" applyFont="1" applyFill="1" applyBorder="1"/>
    <xf numFmtId="9" fontId="3" fillId="0" borderId="22" xfId="0" applyNumberFormat="1" applyFont="1" applyFill="1" applyBorder="1" applyAlignment="1"/>
    <xf numFmtId="2" fontId="4" fillId="0" borderId="22" xfId="0" applyNumberFormat="1" applyFont="1" applyFill="1" applyBorder="1" applyAlignment="1"/>
    <xf numFmtId="2" fontId="4" fillId="0" borderId="22" xfId="0" applyNumberFormat="1" applyFont="1" applyFill="1" applyBorder="1" applyAlignment="1">
      <alignment horizontal="center"/>
    </xf>
    <xf numFmtId="2" fontId="4" fillId="0" borderId="22" xfId="0" quotePrefix="1" applyNumberFormat="1" applyFont="1" applyFill="1" applyBorder="1" applyAlignment="1">
      <alignment horizontal="center"/>
    </xf>
    <xf numFmtId="2" fontId="4" fillId="0" borderId="22" xfId="0" applyNumberFormat="1" applyFont="1" applyFill="1" applyBorder="1" applyAlignment="1">
      <alignment horizontal="right"/>
    </xf>
    <xf numFmtId="0" fontId="5" fillId="0" borderId="0" xfId="0" applyFont="1" applyFill="1"/>
    <xf numFmtId="0" fontId="3" fillId="0" borderId="19" xfId="0" quotePrefix="1" applyFont="1" applyFill="1" applyBorder="1" applyAlignment="1">
      <alignment horizontal="center"/>
    </xf>
    <xf numFmtId="0" fontId="3" fillId="0" borderId="22" xfId="0" applyFont="1" applyFill="1" applyBorder="1"/>
    <xf numFmtId="3" fontId="3" fillId="0" borderId="22" xfId="0" quotePrefix="1" applyNumberFormat="1" applyFont="1" applyFill="1" applyBorder="1" applyAlignment="1">
      <alignment horizontal="center"/>
    </xf>
    <xf numFmtId="17" fontId="3" fillId="0" borderId="22" xfId="9" quotePrefix="1" applyNumberFormat="1" applyFont="1" applyFill="1" applyBorder="1" applyAlignment="1">
      <alignment horizontal="right"/>
    </xf>
    <xf numFmtId="4" fontId="3" fillId="0" borderId="22" xfId="0" applyNumberFormat="1" applyFont="1" applyFill="1" applyBorder="1" applyAlignment="1"/>
    <xf numFmtId="170" fontId="3" fillId="0" borderId="22" xfId="0" applyNumberFormat="1" applyFont="1" applyFill="1" applyBorder="1" applyAlignment="1"/>
    <xf numFmtId="1" fontId="3" fillId="0" borderId="22" xfId="0" quotePrefix="1" applyNumberFormat="1" applyFont="1" applyFill="1" applyBorder="1" applyAlignment="1">
      <alignment horizontal="center"/>
    </xf>
    <xf numFmtId="175" fontId="3" fillId="0" borderId="22" xfId="0" applyNumberFormat="1" applyFont="1" applyFill="1" applyBorder="1" applyAlignment="1">
      <alignment horizontal="right"/>
    </xf>
    <xf numFmtId="0" fontId="3" fillId="0" borderId="22" xfId="0" applyNumberFormat="1" applyFont="1" applyFill="1" applyBorder="1"/>
    <xf numFmtId="3" fontId="3" fillId="0" borderId="22" xfId="0" applyNumberFormat="1" applyFont="1" applyFill="1" applyBorder="1"/>
    <xf numFmtId="0" fontId="3" fillId="0" borderId="22" xfId="0" applyFont="1" applyFill="1" applyBorder="1" applyAlignment="1">
      <alignment horizontal="center"/>
    </xf>
    <xf numFmtId="169" fontId="3" fillId="0" borderId="22" xfId="0" applyNumberFormat="1" applyFont="1" applyFill="1" applyBorder="1"/>
    <xf numFmtId="0" fontId="17" fillId="0" borderId="2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right"/>
    </xf>
    <xf numFmtId="175" fontId="4" fillId="0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176" fontId="4" fillId="0" borderId="2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/>
    <xf numFmtId="174" fontId="17" fillId="0" borderId="0" xfId="6" applyNumberFormat="1" applyFont="1" applyFill="1" applyAlignment="1">
      <alignment horizontal="center"/>
    </xf>
    <xf numFmtId="171" fontId="7" fillId="0" borderId="0" xfId="1" applyNumberFormat="1" applyFont="1" applyFill="1"/>
    <xf numFmtId="0" fontId="2" fillId="0" borderId="0" xfId="0" applyFont="1" applyFill="1" applyBorder="1" applyAlignment="1">
      <alignment horizontal="center"/>
    </xf>
    <xf numFmtId="9" fontId="5" fillId="0" borderId="0" xfId="0" applyNumberFormat="1" applyFont="1" applyFill="1" applyAlignment="1"/>
    <xf numFmtId="0" fontId="2" fillId="0" borderId="0" xfId="0" applyFont="1" applyFill="1"/>
    <xf numFmtId="0" fontId="6" fillId="0" borderId="0" xfId="0" applyFont="1" applyFill="1" applyAlignment="1">
      <alignment wrapText="1"/>
    </xf>
    <xf numFmtId="174" fontId="40" fillId="0" borderId="0" xfId="6" applyNumberFormat="1" applyFont="1" applyFill="1" applyAlignment="1"/>
    <xf numFmtId="0" fontId="19" fillId="0" borderId="0" xfId="9" applyFont="1" applyFill="1" applyAlignment="1">
      <alignment horizontal="center"/>
    </xf>
    <xf numFmtId="3" fontId="19" fillId="0" borderId="0" xfId="9" applyNumberFormat="1" applyFont="1" applyFill="1"/>
    <xf numFmtId="0" fontId="17" fillId="0" borderId="39" xfId="0" quotePrefix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23" fillId="0" borderId="0" xfId="0" applyFont="1" applyFill="1"/>
    <xf numFmtId="3" fontId="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4" fillId="0" borderId="0" xfId="0" applyFont="1" applyFill="1"/>
    <xf numFmtId="0" fontId="24" fillId="0" borderId="0" xfId="0" applyFont="1" applyFill="1" applyAlignment="1"/>
    <xf numFmtId="0" fontId="32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/>
    <xf numFmtId="1" fontId="1" fillId="0" borderId="2" xfId="0" quotePrefix="1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1" fontId="1" fillId="0" borderId="2" xfId="0" quotePrefix="1" applyNumberFormat="1" applyFont="1" applyFill="1" applyBorder="1" applyAlignment="1">
      <alignment horizontal="right"/>
    </xf>
    <xf numFmtId="1" fontId="1" fillId="0" borderId="2" xfId="0" applyNumberFormat="1" applyFont="1" applyFill="1" applyBorder="1" applyAlignment="1">
      <alignment horizontal="right" wrapText="1"/>
    </xf>
    <xf numFmtId="3" fontId="3" fillId="0" borderId="38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 wrapText="1"/>
    </xf>
    <xf numFmtId="1" fontId="1" fillId="0" borderId="2" xfId="1" applyNumberFormat="1" applyFont="1" applyFill="1" applyBorder="1" applyAlignment="1">
      <alignment horizontal="right" wrapText="1"/>
    </xf>
    <xf numFmtId="1" fontId="1" fillId="0" borderId="2" xfId="1" quotePrefix="1" applyNumberFormat="1" applyFont="1" applyFill="1" applyBorder="1" applyAlignment="1">
      <alignment horizontal="right" wrapText="1"/>
    </xf>
    <xf numFmtId="0" fontId="3" fillId="0" borderId="22" xfId="0" quotePrefix="1" applyFont="1" applyFill="1" applyBorder="1" applyAlignment="1">
      <alignment horizontal="right"/>
    </xf>
    <xf numFmtId="0" fontId="3" fillId="0" borderId="18" xfId="0" quotePrefix="1" applyFont="1" applyFill="1" applyBorder="1" applyAlignment="1">
      <alignment horizontal="right"/>
    </xf>
    <xf numFmtId="3" fontId="3" fillId="0" borderId="17" xfId="0" applyNumberFormat="1" applyFont="1" applyFill="1" applyBorder="1"/>
    <xf numFmtId="0" fontId="3" fillId="0" borderId="17" xfId="0" applyFont="1" applyFill="1" applyBorder="1"/>
    <xf numFmtId="0" fontId="4" fillId="0" borderId="22" xfId="0" quotePrefix="1" applyFont="1" applyFill="1" applyBorder="1" applyAlignment="1">
      <alignment horizontal="center"/>
    </xf>
    <xf numFmtId="3" fontId="4" fillId="0" borderId="22" xfId="0" applyNumberFormat="1" applyFont="1" applyFill="1" applyBorder="1" applyAlignment="1"/>
    <xf numFmtId="1" fontId="1" fillId="0" borderId="22" xfId="0" applyNumberFormat="1" applyFont="1" applyFill="1" applyBorder="1" applyAlignment="1">
      <alignment horizontal="right" wrapText="1"/>
    </xf>
    <xf numFmtId="3" fontId="3" fillId="0" borderId="22" xfId="0" applyNumberFormat="1" applyFont="1" applyFill="1" applyBorder="1" applyAlignment="1"/>
    <xf numFmtId="1" fontId="1" fillId="0" borderId="3" xfId="1" quotePrefix="1" applyNumberFormat="1" applyFont="1" applyFill="1" applyBorder="1" applyAlignment="1">
      <alignment horizontal="right" wrapText="1"/>
    </xf>
    <xf numFmtId="0" fontId="1" fillId="0" borderId="22" xfId="0" quotePrefix="1" applyFont="1" applyFill="1" applyBorder="1" applyAlignment="1">
      <alignment horizontal="right" wrapText="1"/>
    </xf>
    <xf numFmtId="3" fontId="3" fillId="0" borderId="31" xfId="0" applyNumberFormat="1" applyFont="1" applyFill="1" applyBorder="1" applyAlignment="1"/>
    <xf numFmtId="3" fontId="3" fillId="0" borderId="31" xfId="0" applyNumberFormat="1" applyFont="1" applyFill="1" applyBorder="1"/>
    <xf numFmtId="3" fontId="25" fillId="0" borderId="0" xfId="0" applyNumberFormat="1" applyFont="1" applyFill="1" applyAlignment="1">
      <alignment horizontal="left"/>
    </xf>
    <xf numFmtId="0" fontId="25" fillId="0" borderId="0" xfId="0" applyFont="1" applyFill="1" applyAlignment="1">
      <alignment horizontal="right"/>
    </xf>
    <xf numFmtId="0" fontId="1" fillId="0" borderId="0" xfId="0" quotePrefix="1" applyFont="1" applyFill="1" applyBorder="1" applyAlignment="1">
      <alignment horizontal="center"/>
    </xf>
    <xf numFmtId="0" fontId="2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/>
    </xf>
    <xf numFmtId="0" fontId="17" fillId="0" borderId="0" xfId="0" applyFont="1" applyFill="1"/>
    <xf numFmtId="0" fontId="5" fillId="0" borderId="0" xfId="0" applyFont="1" applyFill="1" applyAlignment="1"/>
    <xf numFmtId="0" fontId="26" fillId="0" borderId="0" xfId="0" applyFont="1" applyFill="1" applyAlignment="1"/>
    <xf numFmtId="0" fontId="26" fillId="0" borderId="0" xfId="0" applyFont="1" applyFill="1" applyAlignment="1">
      <alignment horizontal="center"/>
    </xf>
    <xf numFmtId="168" fontId="1" fillId="0" borderId="0" xfId="1" applyNumberFormat="1" applyFont="1" applyFill="1"/>
    <xf numFmtId="0" fontId="5" fillId="0" borderId="0" xfId="0" applyFont="1" applyFill="1" applyAlignment="1">
      <alignment horizontal="right"/>
    </xf>
    <xf numFmtId="0" fontId="25" fillId="0" borderId="0" xfId="0" applyFont="1" applyFill="1"/>
    <xf numFmtId="0" fontId="23" fillId="0" borderId="0" xfId="0" applyFont="1" applyFill="1" applyAlignment="1">
      <alignment horizontal="right"/>
    </xf>
    <xf numFmtId="0" fontId="23" fillId="0" borderId="0" xfId="0" applyFont="1" applyFill="1" applyAlignment="1"/>
    <xf numFmtId="170" fontId="3" fillId="0" borderId="22" xfId="0" applyNumberFormat="1" applyFont="1" applyFill="1" applyBorder="1"/>
    <xf numFmtId="1" fontId="3" fillId="0" borderId="23" xfId="0" applyNumberFormat="1" applyFont="1" applyFill="1" applyBorder="1" applyAlignment="1">
      <alignment horizontal="center"/>
    </xf>
    <xf numFmtId="170" fontId="3" fillId="0" borderId="2" xfId="0" quotePrefix="1" applyNumberFormat="1" applyFont="1" applyFill="1" applyBorder="1"/>
    <xf numFmtId="9" fontId="37" fillId="0" borderId="2" xfId="0" applyNumberFormat="1" applyFont="1" applyFill="1" applyBorder="1" applyAlignment="1"/>
    <xf numFmtId="3" fontId="3" fillId="0" borderId="2" xfId="0" quotePrefix="1" applyNumberFormat="1" applyFont="1" applyFill="1" applyBorder="1" applyAlignment="1">
      <alignment horizontal="center"/>
    </xf>
    <xf numFmtId="9" fontId="3" fillId="0" borderId="2" xfId="6" applyFont="1" applyFill="1" applyBorder="1" applyAlignment="1">
      <alignment horizontal="center"/>
    </xf>
    <xf numFmtId="3" fontId="17" fillId="0" borderId="40" xfId="0" quotePrefix="1" applyNumberFormat="1" applyFont="1" applyFill="1" applyBorder="1" applyAlignment="1">
      <alignment horizontal="right"/>
    </xf>
    <xf numFmtId="3" fontId="17" fillId="0" borderId="39" xfId="0" quotePrefix="1" applyNumberFormat="1" applyFont="1" applyFill="1" applyBorder="1" applyAlignment="1">
      <alignment horizontal="right"/>
    </xf>
    <xf numFmtId="17" fontId="17" fillId="0" borderId="39" xfId="0" quotePrefix="1" applyNumberFormat="1" applyFont="1" applyFill="1" applyBorder="1" applyAlignment="1">
      <alignment horizontal="right"/>
    </xf>
    <xf numFmtId="0" fontId="3" fillId="0" borderId="39" xfId="0" quotePrefix="1" applyFont="1" applyFill="1" applyBorder="1" applyAlignment="1">
      <alignment horizontal="right"/>
    </xf>
    <xf numFmtId="4" fontId="3" fillId="0" borderId="41" xfId="0" applyNumberFormat="1" applyFont="1" applyFill="1" applyBorder="1" applyAlignment="1">
      <alignment horizontal="right"/>
    </xf>
    <xf numFmtId="0" fontId="13" fillId="0" borderId="0" xfId="0" applyFont="1" applyFill="1"/>
    <xf numFmtId="14" fontId="17" fillId="0" borderId="39" xfId="0" quotePrefix="1" applyNumberFormat="1" applyFont="1" applyFill="1" applyBorder="1" applyAlignment="1">
      <alignment horizontal="right"/>
    </xf>
    <xf numFmtId="0" fontId="23" fillId="0" borderId="0" xfId="0" applyFont="1" applyFill="1" applyAlignment="1">
      <alignment horizontal="left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2" xfId="0" quotePrefix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24" fillId="0" borderId="0" xfId="5" applyFont="1" applyFill="1" applyAlignment="1">
      <alignment horizontal="center" wrapText="1"/>
    </xf>
    <xf numFmtId="0" fontId="2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3" fontId="25" fillId="0" borderId="0" xfId="0" applyNumberFormat="1" applyFont="1" applyFill="1" applyAlignment="1">
      <alignment horizontal="right"/>
    </xf>
    <xf numFmtId="0" fontId="4" fillId="0" borderId="31" xfId="0" quotePrefix="1" applyFont="1" applyFill="1" applyBorder="1" applyAlignment="1">
      <alignment horizontal="center" vertical="center"/>
    </xf>
    <xf numFmtId="4" fontId="3" fillId="0" borderId="21" xfId="0" applyNumberFormat="1" applyFont="1" applyFill="1" applyBorder="1"/>
    <xf numFmtId="170" fontId="3" fillId="0" borderId="21" xfId="0" applyNumberFormat="1" applyFont="1" applyFill="1" applyBorder="1"/>
    <xf numFmtId="3" fontId="3" fillId="0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9" fontId="3" fillId="0" borderId="21" xfId="0" applyNumberFormat="1" applyFont="1" applyFill="1" applyBorder="1" applyAlignment="1"/>
    <xf numFmtId="9" fontId="3" fillId="0" borderId="2" xfId="0" applyNumberFormat="1" applyFont="1" applyFill="1" applyBorder="1" applyAlignment="1">
      <alignment horizontal="center"/>
    </xf>
    <xf numFmtId="170" fontId="3" fillId="0" borderId="2" xfId="0" applyNumberFormat="1" applyFont="1" applyFill="1" applyBorder="1" applyAlignment="1">
      <alignment horizontal="left"/>
    </xf>
    <xf numFmtId="1" fontId="3" fillId="0" borderId="2" xfId="6" quotePrefix="1" applyNumberFormat="1" applyFont="1" applyFill="1" applyBorder="1" applyAlignment="1">
      <alignment horizontal="center"/>
    </xf>
    <xf numFmtId="4" fontId="3" fillId="0" borderId="27" xfId="0" applyNumberFormat="1" applyFont="1" applyFill="1" applyBorder="1" applyAlignment="1"/>
    <xf numFmtId="4" fontId="3" fillId="0" borderId="2" xfId="1" applyNumberFormat="1" applyFont="1" applyFill="1" applyBorder="1"/>
    <xf numFmtId="4" fontId="3" fillId="0" borderId="35" xfId="0" applyNumberFormat="1" applyFont="1" applyFill="1" applyBorder="1" applyAlignment="1"/>
    <xf numFmtId="0" fontId="3" fillId="0" borderId="35" xfId="0" applyNumberFormat="1" applyFont="1" applyFill="1" applyBorder="1" applyAlignment="1"/>
    <xf numFmtId="1" fontId="3" fillId="0" borderId="35" xfId="0" quotePrefix="1" applyNumberFormat="1" applyFont="1" applyFill="1" applyBorder="1" applyAlignment="1">
      <alignment horizontal="center"/>
    </xf>
    <xf numFmtId="4" fontId="4" fillId="0" borderId="2" xfId="0" quotePrefix="1" applyNumberFormat="1" applyFont="1" applyFill="1" applyBorder="1" applyAlignment="1">
      <alignment horizontal="center"/>
    </xf>
    <xf numFmtId="4" fontId="3" fillId="0" borderId="2" xfId="0" quotePrefix="1" applyNumberFormat="1" applyFont="1" applyFill="1" applyBorder="1" applyAlignment="1">
      <alignment horizontal="right"/>
    </xf>
    <xf numFmtId="9" fontId="2" fillId="0" borderId="2" xfId="0" applyNumberFormat="1" applyFont="1" applyFill="1" applyBorder="1" applyAlignment="1">
      <alignment horizontal="center"/>
    </xf>
    <xf numFmtId="175" fontId="2" fillId="0" borderId="2" xfId="0" applyNumberFormat="1" applyFont="1" applyFill="1" applyBorder="1" applyAlignment="1"/>
    <xf numFmtId="49" fontId="3" fillId="0" borderId="2" xfId="6" applyNumberFormat="1" applyFont="1" applyFill="1" applyBorder="1" applyAlignment="1">
      <alignment horizontal="center"/>
    </xf>
    <xf numFmtId="0" fontId="41" fillId="0" borderId="2" xfId="0" applyFont="1" applyFill="1" applyBorder="1" applyAlignment="1"/>
    <xf numFmtId="0" fontId="1" fillId="0" borderId="2" xfId="0" applyFont="1" applyFill="1" applyBorder="1" applyAlignment="1"/>
    <xf numFmtId="4" fontId="3" fillId="0" borderId="42" xfId="0" applyNumberFormat="1" applyFont="1" applyFill="1" applyBorder="1" applyAlignment="1">
      <alignment horizontal="right"/>
    </xf>
    <xf numFmtId="49" fontId="3" fillId="0" borderId="42" xfId="6" applyNumberFormat="1" applyFont="1" applyFill="1" applyBorder="1" applyAlignment="1">
      <alignment horizontal="center"/>
    </xf>
    <xf numFmtId="175" fontId="3" fillId="0" borderId="42" xfId="0" applyNumberFormat="1" applyFont="1" applyFill="1" applyBorder="1" applyAlignment="1">
      <alignment horizontal="right"/>
    </xf>
    <xf numFmtId="4" fontId="3" fillId="0" borderId="38" xfId="0" applyNumberFormat="1" applyFont="1" applyFill="1" applyBorder="1"/>
    <xf numFmtId="4" fontId="3" fillId="0" borderId="38" xfId="0" applyNumberFormat="1" applyFont="1" applyFill="1" applyBorder="1" applyAlignment="1"/>
    <xf numFmtId="9" fontId="12" fillId="0" borderId="38" xfId="0" applyNumberFormat="1" applyFont="1" applyFill="1" applyBorder="1" applyAlignment="1">
      <alignment horizontal="center"/>
    </xf>
    <xf numFmtId="175" fontId="39" fillId="0" borderId="38" xfId="0" applyNumberFormat="1" applyFont="1" applyFill="1" applyBorder="1" applyAlignment="1"/>
    <xf numFmtId="49" fontId="3" fillId="0" borderId="38" xfId="6" applyNumberFormat="1" applyFont="1" applyFill="1" applyBorder="1" applyAlignment="1">
      <alignment horizontal="center"/>
    </xf>
    <xf numFmtId="175" fontId="3" fillId="0" borderId="38" xfId="0" applyNumberFormat="1" applyFont="1" applyFill="1" applyBorder="1" applyAlignment="1">
      <alignment horizontal="right"/>
    </xf>
    <xf numFmtId="17" fontId="17" fillId="0" borderId="22" xfId="0" quotePrefix="1" applyNumberFormat="1" applyFont="1" applyFill="1" applyBorder="1" applyAlignment="1">
      <alignment horizontal="center"/>
    </xf>
    <xf numFmtId="9" fontId="12" fillId="0" borderId="22" xfId="0" applyNumberFormat="1" applyFont="1" applyFill="1" applyBorder="1" applyAlignment="1">
      <alignment horizontal="center"/>
    </xf>
    <xf numFmtId="175" fontId="39" fillId="0" borderId="22" xfId="0" applyNumberFormat="1" applyFont="1" applyFill="1" applyBorder="1" applyAlignment="1"/>
    <xf numFmtId="49" fontId="3" fillId="0" borderId="22" xfId="6" applyNumberFormat="1" applyFont="1" applyFill="1" applyBorder="1" applyAlignment="1">
      <alignment horizontal="center"/>
    </xf>
    <xf numFmtId="169" fontId="3" fillId="0" borderId="22" xfId="0" applyNumberFormat="1" applyFont="1" applyFill="1" applyBorder="1" applyAlignment="1"/>
    <xf numFmtId="0" fontId="3" fillId="0" borderId="22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3" fontId="17" fillId="0" borderId="38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/>
    </xf>
    <xf numFmtId="178" fontId="3" fillId="0" borderId="2" xfId="0" applyNumberFormat="1" applyFont="1" applyFill="1" applyBorder="1"/>
    <xf numFmtId="3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28" fillId="0" borderId="0" xfId="9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3" fontId="28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6" fillId="3" borderId="24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/>
    </xf>
    <xf numFmtId="0" fontId="24" fillId="0" borderId="0" xfId="5" applyFont="1" applyFill="1" applyAlignment="1">
      <alignment horizontal="center" wrapTex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4" fillId="0" borderId="19" xfId="0" quotePrefix="1" applyFont="1" applyFill="1" applyBorder="1" applyAlignment="1">
      <alignment horizontal="center" vertical="center"/>
    </xf>
    <xf numFmtId="0" fontId="4" fillId="0" borderId="23" xfId="0" quotePrefix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25" fillId="0" borderId="19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left" wrapText="1"/>
    </xf>
    <xf numFmtId="0" fontId="25" fillId="0" borderId="33" xfId="0" applyFont="1" applyFill="1" applyBorder="1" applyAlignment="1">
      <alignment horizontal="left" wrapText="1"/>
    </xf>
    <xf numFmtId="0" fontId="25" fillId="0" borderId="34" xfId="0" applyFont="1" applyFill="1" applyBorder="1" applyAlignment="1">
      <alignment horizontal="left" wrapText="1"/>
    </xf>
    <xf numFmtId="0" fontId="4" fillId="0" borderId="36" xfId="0" quotePrefix="1" applyFont="1" applyFill="1" applyBorder="1" applyAlignment="1">
      <alignment horizontal="center" vertical="center"/>
    </xf>
    <xf numFmtId="0" fontId="4" fillId="0" borderId="37" xfId="0" quotePrefix="1" applyFont="1" applyFill="1" applyBorder="1" applyAlignment="1">
      <alignment horizontal="center" vertical="center"/>
    </xf>
    <xf numFmtId="3" fontId="13" fillId="0" borderId="0" xfId="9" applyNumberFormat="1" applyFont="1" applyFill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28" fillId="0" borderId="0" xfId="9" applyNumberFormat="1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wrapText="1"/>
    </xf>
    <xf numFmtId="0" fontId="4" fillId="0" borderId="10" xfId="0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left" vertical="center" wrapText="1"/>
    </xf>
    <xf numFmtId="0" fontId="24" fillId="0" borderId="29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</cellXfs>
  <cellStyles count="11">
    <cellStyle name="Comma" xfId="1" builtinId="3"/>
    <cellStyle name="Comma [0]" xfId="2" builtinId="6"/>
    <cellStyle name="Heading" xfId="3"/>
    <cellStyle name="Heading1" xfId="4"/>
    <cellStyle name="Normal" xfId="0" builtinId="0" customBuiltin="1"/>
    <cellStyle name="Normal 2" xfId="9"/>
    <cellStyle name="Normal 3" xfId="10"/>
    <cellStyle name="Normal_Bảng thanh toán cho đối tượng thụ hưởng" xfId="5"/>
    <cellStyle name="Percent" xfId="6" builtinId="5"/>
    <cellStyle name="Result" xfId="7"/>
    <cellStyle name="Result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3</xdr:row>
      <xdr:rowOff>38100</xdr:rowOff>
    </xdr:from>
    <xdr:to>
      <xdr:col>7</xdr:col>
      <xdr:colOff>771525</xdr:colOff>
      <xdr:row>4</xdr:row>
      <xdr:rowOff>0</xdr:rowOff>
    </xdr:to>
    <xdr:sp macro="" textlink="">
      <xdr:nvSpPr>
        <xdr:cNvPr id="24844" name="Rectangle 76451"/>
        <xdr:cNvSpPr>
          <a:spLocks noChangeArrowheads="1"/>
        </xdr:cNvSpPr>
      </xdr:nvSpPr>
      <xdr:spPr bwMode="auto">
        <a:xfrm>
          <a:off x="6915150" y="752475"/>
          <a:ext cx="2381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1706238</xdr:colOff>
      <xdr:row>3</xdr:row>
      <xdr:rowOff>30755</xdr:rowOff>
    </xdr:from>
    <xdr:to>
      <xdr:col>4</xdr:col>
      <xdr:colOff>253618</xdr:colOff>
      <xdr:row>3</xdr:row>
      <xdr:rowOff>211501</xdr:rowOff>
    </xdr:to>
    <xdr:sp macro="" textlink="">
      <xdr:nvSpPr>
        <xdr:cNvPr id="6" name="Rectangle 76451"/>
        <xdr:cNvSpPr>
          <a:spLocks noChangeArrowheads="1"/>
        </xdr:cNvSpPr>
      </xdr:nvSpPr>
      <xdr:spPr bwMode="auto">
        <a:xfrm>
          <a:off x="4363713" y="745130"/>
          <a:ext cx="271405" cy="18074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0"/>
  <sheetViews>
    <sheetView tabSelected="1" zoomScaleNormal="100" workbookViewId="0">
      <selection activeCell="C62" sqref="C62"/>
    </sheetView>
  </sheetViews>
  <sheetFormatPr defaultColWidth="8.109375" defaultRowHeight="18.75" x14ac:dyDescent="0.3"/>
  <cols>
    <col min="1" max="1" width="7" style="19" customWidth="1"/>
    <col min="2" max="2" width="22.109375" style="1" customWidth="1"/>
    <col min="3" max="3" width="21.77734375" style="3" customWidth="1"/>
    <col min="4" max="4" width="17" style="1" customWidth="1"/>
    <col min="5" max="5" width="14.5546875" style="1" customWidth="1"/>
    <col min="6" max="6" width="11.44140625" style="1" customWidth="1"/>
    <col min="7" max="8" width="12.44140625" style="1" customWidth="1"/>
    <col min="9" max="9" width="12.44140625" style="2" customWidth="1"/>
    <col min="10" max="13" width="12.44140625" style="1" customWidth="1"/>
    <col min="14" max="15" width="12.44140625" style="2" customWidth="1"/>
    <col min="16" max="43" width="12.44140625" style="1" customWidth="1"/>
    <col min="44" max="45" width="8.109375" style="1"/>
    <col min="46" max="46" width="13.109375" style="1" customWidth="1"/>
    <col min="47" max="47" width="11.109375" style="1" bestFit="1" customWidth="1"/>
    <col min="48" max="16384" width="8.109375" style="1"/>
  </cols>
  <sheetData>
    <row r="1" spans="1:15" ht="19.5" customHeight="1" x14ac:dyDescent="0.3">
      <c r="A1" s="281" t="s">
        <v>206</v>
      </c>
      <c r="B1" s="281"/>
      <c r="C1" s="281"/>
      <c r="D1" s="281"/>
      <c r="E1" s="281"/>
      <c r="F1" s="281"/>
      <c r="I1" s="1"/>
      <c r="N1" s="1"/>
      <c r="O1" s="1"/>
    </row>
    <row r="2" spans="1:15" x14ac:dyDescent="0.3">
      <c r="A2" s="284" t="s">
        <v>125</v>
      </c>
      <c r="B2" s="284"/>
      <c r="C2" s="284"/>
      <c r="D2" s="284"/>
      <c r="E2" s="284"/>
      <c r="F2" s="25"/>
      <c r="I2" s="1"/>
      <c r="N2" s="1"/>
      <c r="O2" s="1"/>
    </row>
    <row r="3" spans="1:15" s="4" customFormat="1" ht="15.75" x14ac:dyDescent="0.25">
      <c r="A3" s="284" t="s">
        <v>126</v>
      </c>
      <c r="B3" s="284"/>
      <c r="C3" s="284"/>
      <c r="D3" s="284"/>
      <c r="E3" s="284"/>
      <c r="F3" s="25"/>
    </row>
    <row r="4" spans="1:15" s="4" customFormat="1" ht="18.75" customHeight="1" x14ac:dyDescent="0.25">
      <c r="A4" s="284" t="s">
        <v>204</v>
      </c>
      <c r="B4" s="284"/>
      <c r="C4" s="284"/>
      <c r="D4" s="284"/>
      <c r="E4" s="284"/>
      <c r="F4" s="25"/>
    </row>
    <row r="5" spans="1:15" s="4" customFormat="1" ht="27.75" x14ac:dyDescent="0.4">
      <c r="A5" s="285" t="s">
        <v>366</v>
      </c>
      <c r="B5" s="285"/>
      <c r="C5" s="285"/>
      <c r="D5" s="285"/>
      <c r="E5" s="285"/>
      <c r="F5" s="285"/>
    </row>
    <row r="6" spans="1:15" s="4" customFormat="1" ht="36" customHeight="1" x14ac:dyDescent="0.2">
      <c r="A6" s="286" t="s">
        <v>292</v>
      </c>
      <c r="B6" s="286"/>
      <c r="C6" s="286"/>
      <c r="D6" s="286"/>
      <c r="E6" s="286"/>
      <c r="F6" s="286"/>
    </row>
    <row r="7" spans="1:15" s="4" customFormat="1" ht="19.5" customHeight="1" x14ac:dyDescent="0.2">
      <c r="A7" s="21"/>
      <c r="B7" s="21"/>
      <c r="C7" s="21"/>
      <c r="D7" s="22"/>
      <c r="E7" s="288" t="s">
        <v>262</v>
      </c>
      <c r="F7" s="288"/>
    </row>
    <row r="8" spans="1:15" s="4" customFormat="1" ht="45.75" customHeight="1" x14ac:dyDescent="0.2">
      <c r="A8" s="36" t="s">
        <v>127</v>
      </c>
      <c r="B8" s="36" t="s">
        <v>128</v>
      </c>
      <c r="C8" s="36" t="s">
        <v>129</v>
      </c>
      <c r="D8" s="36" t="s">
        <v>367</v>
      </c>
      <c r="E8" s="36" t="s">
        <v>130</v>
      </c>
      <c r="F8" s="36" t="s">
        <v>119</v>
      </c>
    </row>
    <row r="9" spans="1:15" s="4" customFormat="1" ht="19.5" customHeight="1" x14ac:dyDescent="0.25">
      <c r="A9" s="9">
        <v>1</v>
      </c>
      <c r="B9" s="74" t="s">
        <v>321</v>
      </c>
      <c r="C9" s="162" t="s">
        <v>324</v>
      </c>
      <c r="D9" s="6">
        <f>'MẪU 09'!E16</f>
        <v>22575169</v>
      </c>
      <c r="E9" s="10">
        <f>D9</f>
        <v>22575169</v>
      </c>
      <c r="F9" s="11"/>
    </row>
    <row r="10" spans="1:15" x14ac:dyDescent="0.3">
      <c r="A10" s="9">
        <v>2</v>
      </c>
      <c r="B10" s="7" t="s">
        <v>89</v>
      </c>
      <c r="C10" s="26" t="s">
        <v>217</v>
      </c>
      <c r="D10" s="6">
        <f>'MẪU 09'!E17</f>
        <v>17339072</v>
      </c>
      <c r="E10" s="10">
        <f t="shared" ref="E10:E61" si="0">D10</f>
        <v>17339072</v>
      </c>
      <c r="F10" s="11"/>
      <c r="I10" s="1"/>
      <c r="N10" s="1"/>
      <c r="O10" s="1"/>
    </row>
    <row r="11" spans="1:15" x14ac:dyDescent="0.3">
      <c r="A11" s="9">
        <v>3</v>
      </c>
      <c r="B11" s="7" t="s">
        <v>24</v>
      </c>
      <c r="C11" s="27" t="s">
        <v>236</v>
      </c>
      <c r="D11" s="6">
        <f>'MẪU 09'!E18</f>
        <v>17375904</v>
      </c>
      <c r="E11" s="10">
        <f t="shared" si="0"/>
        <v>17375904</v>
      </c>
      <c r="F11" s="11"/>
      <c r="I11" s="1"/>
      <c r="N11" s="1"/>
      <c r="O11" s="1"/>
    </row>
    <row r="12" spans="1:15" x14ac:dyDescent="0.3">
      <c r="A12" s="9">
        <v>4</v>
      </c>
      <c r="B12" s="7" t="s">
        <v>14</v>
      </c>
      <c r="C12" s="26" t="s">
        <v>218</v>
      </c>
      <c r="D12" s="6">
        <f>'MẪU 09'!E19</f>
        <v>16986520</v>
      </c>
      <c r="E12" s="10">
        <f t="shared" si="0"/>
        <v>16986520</v>
      </c>
      <c r="F12" s="12"/>
      <c r="I12" s="1"/>
      <c r="N12" s="1"/>
      <c r="O12" s="1"/>
    </row>
    <row r="13" spans="1:15" x14ac:dyDescent="0.3">
      <c r="A13" s="9">
        <v>5</v>
      </c>
      <c r="B13" s="7" t="s">
        <v>15</v>
      </c>
      <c r="C13" s="30">
        <v>5606205371350</v>
      </c>
      <c r="D13" s="6">
        <f>'MẪU 09'!E20</f>
        <v>15423577</v>
      </c>
      <c r="E13" s="10">
        <f t="shared" si="0"/>
        <v>15423577</v>
      </c>
      <c r="F13" s="12"/>
      <c r="I13" s="1"/>
      <c r="N13" s="1"/>
      <c r="O13" s="1"/>
    </row>
    <row r="14" spans="1:15" x14ac:dyDescent="0.3">
      <c r="A14" s="9">
        <v>6</v>
      </c>
      <c r="B14" s="7" t="s">
        <v>16</v>
      </c>
      <c r="C14" s="30">
        <v>5606205370190</v>
      </c>
      <c r="D14" s="6">
        <f>'MẪU 09'!E21</f>
        <v>15306158</v>
      </c>
      <c r="E14" s="10">
        <f t="shared" si="0"/>
        <v>15306158</v>
      </c>
      <c r="F14" s="11"/>
      <c r="I14" s="1"/>
      <c r="N14" s="1"/>
      <c r="O14" s="1"/>
    </row>
    <row r="15" spans="1:15" x14ac:dyDescent="0.3">
      <c r="A15" s="9">
        <v>7</v>
      </c>
      <c r="B15" s="7" t="s">
        <v>17</v>
      </c>
      <c r="C15" s="30">
        <v>5606215000592</v>
      </c>
      <c r="D15" s="6">
        <f>'MẪU 09'!E22</f>
        <v>17228389</v>
      </c>
      <c r="E15" s="10">
        <f t="shared" si="0"/>
        <v>17228389</v>
      </c>
      <c r="F15" s="12"/>
      <c r="I15" s="1"/>
      <c r="N15" s="1"/>
      <c r="O15" s="1"/>
    </row>
    <row r="16" spans="1:15" x14ac:dyDescent="0.3">
      <c r="A16" s="9">
        <v>8</v>
      </c>
      <c r="B16" s="7" t="s">
        <v>12</v>
      </c>
      <c r="C16" s="30">
        <v>5606205074346</v>
      </c>
      <c r="D16" s="6">
        <f>'MẪU 09'!E23</f>
        <v>19552628</v>
      </c>
      <c r="E16" s="10">
        <f t="shared" si="0"/>
        <v>19552628</v>
      </c>
      <c r="F16" s="12"/>
      <c r="I16" s="1"/>
      <c r="N16" s="1"/>
      <c r="O16" s="1"/>
    </row>
    <row r="17" spans="1:15" x14ac:dyDescent="0.3">
      <c r="A17" s="9">
        <v>9</v>
      </c>
      <c r="B17" s="7" t="s">
        <v>18</v>
      </c>
      <c r="C17" s="30">
        <v>5606215000478</v>
      </c>
      <c r="D17" s="6">
        <f>'MẪU 09'!E24</f>
        <v>14497063</v>
      </c>
      <c r="E17" s="10">
        <f t="shared" si="0"/>
        <v>14497063</v>
      </c>
      <c r="F17" s="11"/>
      <c r="I17" s="1"/>
      <c r="N17" s="1"/>
      <c r="O17" s="1"/>
    </row>
    <row r="18" spans="1:15" x14ac:dyDescent="0.3">
      <c r="A18" s="9">
        <v>10</v>
      </c>
      <c r="B18" s="7" t="s">
        <v>25</v>
      </c>
      <c r="C18" s="30">
        <v>5606205371338</v>
      </c>
      <c r="D18" s="6">
        <f>'MẪU 09'!E25</f>
        <v>16020546</v>
      </c>
      <c r="E18" s="10">
        <f t="shared" si="0"/>
        <v>16020546</v>
      </c>
      <c r="F18" s="11"/>
      <c r="I18" s="1"/>
      <c r="N18" s="1"/>
      <c r="O18" s="1"/>
    </row>
    <row r="19" spans="1:15" x14ac:dyDescent="0.3">
      <c r="A19" s="9">
        <v>11</v>
      </c>
      <c r="B19" s="7" t="s">
        <v>93</v>
      </c>
      <c r="C19" s="30">
        <v>5606205371498</v>
      </c>
      <c r="D19" s="6">
        <f>'MẪU 09'!E26</f>
        <v>17518485</v>
      </c>
      <c r="E19" s="10">
        <f t="shared" si="0"/>
        <v>17518485</v>
      </c>
      <c r="F19" s="12"/>
      <c r="I19" s="1"/>
      <c r="N19" s="1"/>
      <c r="O19" s="1"/>
    </row>
    <row r="20" spans="1:15" x14ac:dyDescent="0.3">
      <c r="A20" s="9">
        <v>12</v>
      </c>
      <c r="B20" s="7" t="s">
        <v>19</v>
      </c>
      <c r="C20" s="29" t="s">
        <v>219</v>
      </c>
      <c r="D20" s="6">
        <f>'MẪU 09'!E27</f>
        <v>17714567</v>
      </c>
      <c r="E20" s="10">
        <f t="shared" si="0"/>
        <v>17714567</v>
      </c>
      <c r="F20" s="12"/>
      <c r="I20" s="1"/>
      <c r="N20" s="1"/>
      <c r="O20" s="1"/>
    </row>
    <row r="21" spans="1:15" x14ac:dyDescent="0.3">
      <c r="A21" s="9">
        <v>13</v>
      </c>
      <c r="B21" s="7" t="s">
        <v>20</v>
      </c>
      <c r="C21" s="30">
        <v>5606205072278</v>
      </c>
      <c r="D21" s="6">
        <f>'MẪU 09'!E28</f>
        <v>18881003</v>
      </c>
      <c r="E21" s="10">
        <f t="shared" si="0"/>
        <v>18881003</v>
      </c>
      <c r="F21" s="12"/>
      <c r="I21" s="1"/>
      <c r="N21" s="1"/>
      <c r="O21" s="1"/>
    </row>
    <row r="22" spans="1:15" x14ac:dyDescent="0.3">
      <c r="A22" s="9">
        <v>14</v>
      </c>
      <c r="B22" s="7" t="s">
        <v>21</v>
      </c>
      <c r="C22" s="30">
        <v>5606215004860</v>
      </c>
      <c r="D22" s="6">
        <f>'MẪU 09'!E29</f>
        <v>15651324</v>
      </c>
      <c r="E22" s="10">
        <f t="shared" si="0"/>
        <v>15651324</v>
      </c>
      <c r="F22" s="12"/>
      <c r="I22" s="1"/>
      <c r="N22" s="1"/>
      <c r="O22" s="1"/>
    </row>
    <row r="23" spans="1:15" x14ac:dyDescent="0.3">
      <c r="A23" s="9">
        <v>15</v>
      </c>
      <c r="B23" s="7" t="s">
        <v>26</v>
      </c>
      <c r="C23" s="30">
        <v>5606205370177</v>
      </c>
      <c r="D23" s="6">
        <f>'MẪU 09'!E30</f>
        <v>14267108</v>
      </c>
      <c r="E23" s="10">
        <f t="shared" si="0"/>
        <v>14267108</v>
      </c>
      <c r="F23" s="12"/>
      <c r="I23" s="1"/>
      <c r="N23" s="1"/>
      <c r="O23" s="1"/>
    </row>
    <row r="24" spans="1:15" s="16" customFormat="1" x14ac:dyDescent="0.3">
      <c r="A24" s="9">
        <v>16</v>
      </c>
      <c r="B24" s="7" t="s">
        <v>94</v>
      </c>
      <c r="C24" s="30">
        <v>5606205371344</v>
      </c>
      <c r="D24" s="6">
        <f>'MẪU 09'!E31</f>
        <v>14982797</v>
      </c>
      <c r="E24" s="10">
        <f t="shared" si="0"/>
        <v>14982797</v>
      </c>
      <c r="F24" s="11"/>
    </row>
    <row r="25" spans="1:15" x14ac:dyDescent="0.3">
      <c r="A25" s="9">
        <v>17</v>
      </c>
      <c r="B25" s="7" t="s">
        <v>88</v>
      </c>
      <c r="C25" s="30">
        <v>5606205370210</v>
      </c>
      <c r="D25" s="6">
        <f>'MẪU 09'!E32</f>
        <v>14420412</v>
      </c>
      <c r="E25" s="10">
        <f t="shared" si="0"/>
        <v>14420412</v>
      </c>
      <c r="F25" s="12"/>
      <c r="I25" s="1"/>
      <c r="N25" s="1"/>
      <c r="O25" s="1"/>
    </row>
    <row r="26" spans="1:15" x14ac:dyDescent="0.3">
      <c r="A26" s="9">
        <v>18</v>
      </c>
      <c r="B26" s="7" t="s">
        <v>10</v>
      </c>
      <c r="C26" s="26" t="s">
        <v>220</v>
      </c>
      <c r="D26" s="6">
        <f>'MẪU 09'!E33</f>
        <v>15283805</v>
      </c>
      <c r="E26" s="10">
        <f t="shared" si="0"/>
        <v>15283805</v>
      </c>
      <c r="F26" s="12"/>
      <c r="I26" s="1"/>
      <c r="N26" s="1"/>
      <c r="O26" s="1"/>
    </row>
    <row r="27" spans="1:15" x14ac:dyDescent="0.3">
      <c r="A27" s="9">
        <v>19</v>
      </c>
      <c r="B27" s="7" t="s">
        <v>95</v>
      </c>
      <c r="C27" s="26" t="s">
        <v>221</v>
      </c>
      <c r="D27" s="6">
        <f>'MẪU 09'!E34</f>
        <v>14982797</v>
      </c>
      <c r="E27" s="10">
        <f t="shared" si="0"/>
        <v>14982797</v>
      </c>
      <c r="F27" s="11"/>
      <c r="I27" s="1"/>
      <c r="N27" s="1"/>
      <c r="O27" s="1"/>
    </row>
    <row r="28" spans="1:15" x14ac:dyDescent="0.3">
      <c r="A28" s="9">
        <v>20</v>
      </c>
      <c r="B28" s="7" t="s">
        <v>22</v>
      </c>
      <c r="C28" s="30">
        <v>5606205371481</v>
      </c>
      <c r="D28" s="6">
        <f>'MẪU 09'!E35</f>
        <v>12877001</v>
      </c>
      <c r="E28" s="10">
        <f t="shared" si="0"/>
        <v>12877001</v>
      </c>
      <c r="F28" s="11"/>
      <c r="I28" s="1"/>
      <c r="N28" s="1"/>
      <c r="O28" s="1"/>
    </row>
    <row r="29" spans="1:15" x14ac:dyDescent="0.3">
      <c r="A29" s="9">
        <v>21</v>
      </c>
      <c r="B29" s="7" t="s">
        <v>3</v>
      </c>
      <c r="C29" s="27" t="s">
        <v>222</v>
      </c>
      <c r="D29" s="6">
        <f>'MẪU 09'!E36</f>
        <v>20185132</v>
      </c>
      <c r="E29" s="10">
        <f t="shared" si="0"/>
        <v>20185132</v>
      </c>
      <c r="F29" s="11"/>
      <c r="I29" s="1"/>
      <c r="N29" s="1"/>
      <c r="O29" s="1"/>
    </row>
    <row r="30" spans="1:15" x14ac:dyDescent="0.3">
      <c r="A30" s="9">
        <v>22</v>
      </c>
      <c r="B30" s="7" t="s">
        <v>67</v>
      </c>
      <c r="C30" s="27" t="s">
        <v>223</v>
      </c>
      <c r="D30" s="6">
        <f>'MẪU 09'!E37</f>
        <v>20395400</v>
      </c>
      <c r="E30" s="10">
        <f t="shared" si="0"/>
        <v>20395400</v>
      </c>
      <c r="F30" s="12"/>
      <c r="I30" s="1"/>
      <c r="N30" s="1"/>
      <c r="O30" s="1"/>
    </row>
    <row r="31" spans="1:15" x14ac:dyDescent="0.3">
      <c r="A31" s="9">
        <v>23</v>
      </c>
      <c r="B31" s="7" t="s">
        <v>4</v>
      </c>
      <c r="C31" s="26" t="s">
        <v>224</v>
      </c>
      <c r="D31" s="6">
        <f>'MẪU 09'!E38</f>
        <v>8699418</v>
      </c>
      <c r="E31" s="10">
        <f t="shared" si="0"/>
        <v>8699418</v>
      </c>
      <c r="F31" s="12"/>
      <c r="I31" s="1"/>
      <c r="N31" s="1"/>
      <c r="O31" s="1"/>
    </row>
    <row r="32" spans="1:15" x14ac:dyDescent="0.3">
      <c r="A32" s="9">
        <v>24</v>
      </c>
      <c r="B32" s="7" t="s">
        <v>7</v>
      </c>
      <c r="C32" s="26" t="s">
        <v>225</v>
      </c>
      <c r="D32" s="6">
        <f>'MẪU 09'!E39</f>
        <v>16070184</v>
      </c>
      <c r="E32" s="10">
        <f t="shared" si="0"/>
        <v>16070184</v>
      </c>
      <c r="F32" s="12"/>
      <c r="I32" s="1"/>
      <c r="N32" s="1"/>
      <c r="O32" s="1"/>
    </row>
    <row r="33" spans="1:15" x14ac:dyDescent="0.3">
      <c r="A33" s="9">
        <v>25</v>
      </c>
      <c r="B33" s="7" t="s">
        <v>8</v>
      </c>
      <c r="C33" s="29" t="s">
        <v>226</v>
      </c>
      <c r="D33" s="6">
        <f>'MẪU 09'!E40</f>
        <v>20605667</v>
      </c>
      <c r="E33" s="10">
        <f t="shared" si="0"/>
        <v>20605667</v>
      </c>
      <c r="F33" s="12"/>
      <c r="I33" s="1"/>
      <c r="N33" s="1"/>
      <c r="O33" s="1"/>
    </row>
    <row r="34" spans="1:15" x14ac:dyDescent="0.3">
      <c r="A34" s="9">
        <v>26</v>
      </c>
      <c r="B34" s="7" t="s">
        <v>116</v>
      </c>
      <c r="C34" s="27" t="s">
        <v>227</v>
      </c>
      <c r="D34" s="6">
        <f>'MẪU 09'!E41</f>
        <v>20290266</v>
      </c>
      <c r="E34" s="10">
        <f t="shared" si="0"/>
        <v>20290266</v>
      </c>
      <c r="F34" s="12"/>
      <c r="I34" s="1"/>
      <c r="N34" s="1"/>
      <c r="O34" s="1"/>
    </row>
    <row r="35" spans="1:15" x14ac:dyDescent="0.3">
      <c r="A35" s="9">
        <v>27</v>
      </c>
      <c r="B35" s="7" t="s">
        <v>11</v>
      </c>
      <c r="C35" s="26" t="s">
        <v>228</v>
      </c>
      <c r="D35" s="6">
        <f>'MẪU 09'!E42</f>
        <v>11465532</v>
      </c>
      <c r="E35" s="10">
        <f t="shared" si="0"/>
        <v>11465532</v>
      </c>
      <c r="F35" s="12"/>
      <c r="I35" s="1"/>
      <c r="N35" s="1"/>
      <c r="O35" s="1"/>
    </row>
    <row r="36" spans="1:15" x14ac:dyDescent="0.3">
      <c r="A36" s="9">
        <v>28</v>
      </c>
      <c r="B36" s="7" t="s">
        <v>27</v>
      </c>
      <c r="C36" s="26" t="s">
        <v>229</v>
      </c>
      <c r="D36" s="6">
        <f>'MẪU 09'!E43</f>
        <v>12877001</v>
      </c>
      <c r="E36" s="10">
        <f t="shared" si="0"/>
        <v>12877001</v>
      </c>
      <c r="F36" s="12"/>
      <c r="I36" s="1"/>
      <c r="N36" s="1"/>
      <c r="O36" s="1"/>
    </row>
    <row r="37" spans="1:15" x14ac:dyDescent="0.3">
      <c r="A37" s="9">
        <v>29</v>
      </c>
      <c r="B37" s="7" t="s">
        <v>77</v>
      </c>
      <c r="C37" s="30">
        <v>5606205371475</v>
      </c>
      <c r="D37" s="6">
        <f>'MẪU 09'!E44</f>
        <v>20605667</v>
      </c>
      <c r="E37" s="10">
        <f t="shared" si="0"/>
        <v>20605667</v>
      </c>
      <c r="F37" s="12"/>
      <c r="I37" s="1"/>
      <c r="N37" s="1"/>
      <c r="O37" s="1"/>
    </row>
    <row r="38" spans="1:15" x14ac:dyDescent="0.3">
      <c r="A38" s="9">
        <v>30</v>
      </c>
      <c r="B38" s="7" t="s">
        <v>71</v>
      </c>
      <c r="C38" s="29" t="s">
        <v>237</v>
      </c>
      <c r="D38" s="6">
        <f>'MẪU 09'!E45</f>
        <v>18897255</v>
      </c>
      <c r="E38" s="10">
        <f t="shared" si="0"/>
        <v>18897255</v>
      </c>
      <c r="F38" s="12"/>
      <c r="I38" s="1"/>
      <c r="N38" s="1"/>
      <c r="O38" s="1"/>
    </row>
    <row r="39" spans="1:15" x14ac:dyDescent="0.3">
      <c r="A39" s="9">
        <v>31</v>
      </c>
      <c r="B39" s="7" t="s">
        <v>72</v>
      </c>
      <c r="C39" s="30">
        <v>5606205370075</v>
      </c>
      <c r="D39" s="6">
        <f>'MẪU 09'!E46</f>
        <v>18083524</v>
      </c>
      <c r="E39" s="10">
        <f t="shared" si="0"/>
        <v>18083524</v>
      </c>
      <c r="F39" s="12"/>
      <c r="I39" s="1"/>
      <c r="N39" s="1"/>
      <c r="O39" s="1"/>
    </row>
    <row r="40" spans="1:15" x14ac:dyDescent="0.3">
      <c r="A40" s="9">
        <v>32</v>
      </c>
      <c r="B40" s="7" t="s">
        <v>12</v>
      </c>
      <c r="C40" s="29" t="s">
        <v>230</v>
      </c>
      <c r="D40" s="6">
        <f>'MẪU 09'!E47</f>
        <v>7334496</v>
      </c>
      <c r="E40" s="10">
        <f t="shared" si="0"/>
        <v>7334496</v>
      </c>
      <c r="F40" s="12"/>
      <c r="I40" s="1"/>
      <c r="N40" s="1"/>
      <c r="O40" s="1"/>
    </row>
    <row r="41" spans="1:15" x14ac:dyDescent="0.3">
      <c r="A41" s="9">
        <v>33</v>
      </c>
      <c r="B41" s="23" t="s">
        <v>96</v>
      </c>
      <c r="C41" s="29">
        <v>5606205441609</v>
      </c>
      <c r="D41" s="6">
        <f>'MẪU 09'!E48</f>
        <v>19450427</v>
      </c>
      <c r="E41" s="10">
        <f t="shared" si="0"/>
        <v>19450427</v>
      </c>
      <c r="F41" s="12"/>
      <c r="I41" s="1"/>
      <c r="N41" s="1"/>
      <c r="O41" s="1"/>
    </row>
    <row r="42" spans="1:15" x14ac:dyDescent="0.3">
      <c r="A42" s="9">
        <v>34</v>
      </c>
      <c r="B42" s="23" t="s">
        <v>98</v>
      </c>
      <c r="C42" s="29" t="s">
        <v>231</v>
      </c>
      <c r="D42" s="6">
        <f>'MẪU 09'!E49</f>
        <v>20833385</v>
      </c>
      <c r="E42" s="10">
        <f t="shared" si="0"/>
        <v>20833385</v>
      </c>
      <c r="F42" s="12"/>
      <c r="I42" s="1"/>
      <c r="N42" s="1"/>
      <c r="O42" s="1"/>
    </row>
    <row r="43" spans="1:15" x14ac:dyDescent="0.3">
      <c r="A43" s="9">
        <v>35</v>
      </c>
      <c r="B43" s="23" t="s">
        <v>100</v>
      </c>
      <c r="C43" s="28">
        <v>5606215000830</v>
      </c>
      <c r="D43" s="6">
        <f>'MẪU 09'!E50</f>
        <v>17518485</v>
      </c>
      <c r="E43" s="10">
        <f t="shared" si="0"/>
        <v>17518485</v>
      </c>
      <c r="F43" s="12"/>
      <c r="G43" s="291"/>
      <c r="I43" s="1"/>
      <c r="N43" s="1"/>
      <c r="O43" s="1"/>
    </row>
    <row r="44" spans="1:15" x14ac:dyDescent="0.3">
      <c r="A44" s="9">
        <v>36</v>
      </c>
      <c r="B44" s="18" t="s">
        <v>201</v>
      </c>
      <c r="C44" s="28">
        <v>5606215008139</v>
      </c>
      <c r="D44" s="6">
        <f>'MẪU 09'!E51</f>
        <v>14724083</v>
      </c>
      <c r="E44" s="10">
        <f t="shared" si="0"/>
        <v>14724083</v>
      </c>
      <c r="F44" s="12"/>
      <c r="G44" s="292"/>
      <c r="I44" s="1"/>
      <c r="N44" s="1"/>
      <c r="O44" s="1"/>
    </row>
    <row r="45" spans="1:15" x14ac:dyDescent="0.3">
      <c r="A45" s="9">
        <v>37</v>
      </c>
      <c r="B45" s="23" t="s">
        <v>102</v>
      </c>
      <c r="C45" s="29" t="s">
        <v>232</v>
      </c>
      <c r="D45" s="6">
        <f>'MẪU 09'!E52</f>
        <v>19764598</v>
      </c>
      <c r="E45" s="10">
        <f t="shared" si="0"/>
        <v>19764598</v>
      </c>
      <c r="F45" s="12"/>
      <c r="G45" s="292"/>
      <c r="I45" s="1"/>
      <c r="N45" s="1"/>
      <c r="O45" s="1"/>
    </row>
    <row r="46" spans="1:15" x14ac:dyDescent="0.3">
      <c r="A46" s="9">
        <v>38</v>
      </c>
      <c r="B46" s="23" t="s">
        <v>104</v>
      </c>
      <c r="C46" s="28">
        <v>5606215000817</v>
      </c>
      <c r="D46" s="6">
        <f>'MẪU 09'!E53</f>
        <v>16107460</v>
      </c>
      <c r="E46" s="10">
        <f t="shared" si="0"/>
        <v>16107460</v>
      </c>
      <c r="F46" s="12"/>
      <c r="G46" s="292"/>
      <c r="I46" s="1"/>
      <c r="N46" s="1"/>
      <c r="O46" s="1"/>
    </row>
    <row r="47" spans="1:15" x14ac:dyDescent="0.3">
      <c r="A47" s="9">
        <v>39</v>
      </c>
      <c r="B47" s="23" t="s">
        <v>107</v>
      </c>
      <c r="C47" s="28">
        <v>5606205370227</v>
      </c>
      <c r="D47" s="6">
        <f>'MẪU 09'!E54</f>
        <v>13550107</v>
      </c>
      <c r="E47" s="10">
        <f t="shared" si="0"/>
        <v>13550107</v>
      </c>
      <c r="F47" s="12"/>
      <c r="G47" s="292"/>
      <c r="I47" s="1"/>
      <c r="N47" s="1"/>
      <c r="O47" s="1"/>
    </row>
    <row r="48" spans="1:15" x14ac:dyDescent="0.3">
      <c r="A48" s="9">
        <v>40</v>
      </c>
      <c r="B48" s="23" t="s">
        <v>110</v>
      </c>
      <c r="C48" s="31" t="s">
        <v>233</v>
      </c>
      <c r="D48" s="6">
        <f>'MẪU 09'!E55</f>
        <v>12737521</v>
      </c>
      <c r="E48" s="10">
        <f t="shared" si="0"/>
        <v>12737521</v>
      </c>
      <c r="F48" s="12"/>
      <c r="I48" s="1"/>
      <c r="N48" s="1"/>
      <c r="O48" s="1"/>
    </row>
    <row r="49" spans="1:27" x14ac:dyDescent="0.3">
      <c r="A49" s="9">
        <v>41</v>
      </c>
      <c r="B49" s="23" t="s">
        <v>112</v>
      </c>
      <c r="C49" s="28">
        <v>5606205170748</v>
      </c>
      <c r="D49" s="6">
        <f>'MẪU 09'!E56</f>
        <v>3123900</v>
      </c>
      <c r="E49" s="10">
        <f t="shared" si="0"/>
        <v>3123900</v>
      </c>
      <c r="F49" s="12"/>
      <c r="I49" s="1"/>
      <c r="N49" s="1"/>
      <c r="O49" s="1"/>
    </row>
    <row r="50" spans="1:27" x14ac:dyDescent="0.3">
      <c r="A50" s="9">
        <v>42</v>
      </c>
      <c r="B50" s="23" t="s">
        <v>173</v>
      </c>
      <c r="C50" s="31" t="s">
        <v>234</v>
      </c>
      <c r="D50" s="6">
        <f>'MẪU 09'!E57</f>
        <v>9069138</v>
      </c>
      <c r="E50" s="10">
        <f t="shared" si="0"/>
        <v>9069138</v>
      </c>
      <c r="F50" s="12"/>
      <c r="I50" s="1"/>
      <c r="N50" s="1"/>
      <c r="O50" s="1"/>
    </row>
    <row r="51" spans="1:27" x14ac:dyDescent="0.3">
      <c r="A51" s="9">
        <v>43</v>
      </c>
      <c r="B51" s="23" t="s">
        <v>114</v>
      </c>
      <c r="C51" s="28">
        <v>5606215000852</v>
      </c>
      <c r="D51" s="6">
        <f>'MẪU 09'!E58</f>
        <v>9394983</v>
      </c>
      <c r="E51" s="10">
        <f t="shared" si="0"/>
        <v>9394983</v>
      </c>
      <c r="F51" s="12"/>
      <c r="I51" s="1"/>
      <c r="N51" s="1"/>
      <c r="O51" s="1"/>
    </row>
    <row r="52" spans="1:27" x14ac:dyDescent="0.3">
      <c r="A52" s="9">
        <v>44</v>
      </c>
      <c r="B52" s="23" t="s">
        <v>207</v>
      </c>
      <c r="C52" s="32" t="s">
        <v>209</v>
      </c>
      <c r="D52" s="6">
        <f>'MẪU 09'!E59</f>
        <v>11339874</v>
      </c>
      <c r="E52" s="10">
        <f t="shared" si="0"/>
        <v>11339874</v>
      </c>
      <c r="F52" s="12"/>
      <c r="I52" s="1"/>
      <c r="N52" s="1"/>
      <c r="O52" s="1"/>
    </row>
    <row r="53" spans="1:27" x14ac:dyDescent="0.3">
      <c r="A53" s="9">
        <v>45</v>
      </c>
      <c r="B53" s="17" t="s">
        <v>263</v>
      </c>
      <c r="C53" s="43" t="s">
        <v>269</v>
      </c>
      <c r="D53" s="6">
        <f>'MẪU 09'!E60</f>
        <v>17443146</v>
      </c>
      <c r="E53" s="10">
        <f t="shared" si="0"/>
        <v>17443146</v>
      </c>
      <c r="F53" s="44"/>
      <c r="I53" s="1"/>
      <c r="N53" s="1"/>
      <c r="O53" s="1"/>
    </row>
    <row r="54" spans="1:27" x14ac:dyDescent="0.3">
      <c r="A54" s="9">
        <v>46</v>
      </c>
      <c r="B54" s="17" t="s">
        <v>265</v>
      </c>
      <c r="C54" s="43" t="s">
        <v>268</v>
      </c>
      <c r="D54" s="6">
        <f>'MẪU 09'!E61</f>
        <v>18799242</v>
      </c>
      <c r="E54" s="10">
        <f t="shared" si="0"/>
        <v>18799242</v>
      </c>
      <c r="F54" s="44"/>
      <c r="I54" s="1"/>
      <c r="N54" s="1"/>
      <c r="O54" s="1"/>
    </row>
    <row r="55" spans="1:27" x14ac:dyDescent="0.3">
      <c r="A55" s="9">
        <v>47</v>
      </c>
      <c r="B55" s="17" t="s">
        <v>264</v>
      </c>
      <c r="C55" s="43" t="s">
        <v>267</v>
      </c>
      <c r="D55" s="6">
        <f>'MẪU 09'!E62</f>
        <v>15782246</v>
      </c>
      <c r="E55" s="10">
        <f t="shared" si="0"/>
        <v>15782246</v>
      </c>
      <c r="F55" s="44"/>
      <c r="I55" s="1"/>
      <c r="N55" s="1"/>
      <c r="O55" s="1"/>
    </row>
    <row r="56" spans="1:27" x14ac:dyDescent="0.3">
      <c r="A56" s="9">
        <v>48</v>
      </c>
      <c r="B56" s="37" t="s">
        <v>215</v>
      </c>
      <c r="C56" s="38" t="s">
        <v>211</v>
      </c>
      <c r="D56" s="6">
        <f>'MẪU 09'!E63</f>
        <v>8808462</v>
      </c>
      <c r="E56" s="10">
        <f t="shared" si="0"/>
        <v>8808462</v>
      </c>
      <c r="F56" s="39"/>
      <c r="I56" s="1"/>
      <c r="N56" s="1"/>
      <c r="O56" s="1"/>
    </row>
    <row r="57" spans="1:27" x14ac:dyDescent="0.3">
      <c r="A57" s="9">
        <v>49</v>
      </c>
      <c r="B57" s="37" t="s">
        <v>208</v>
      </c>
      <c r="C57" s="38" t="s">
        <v>210</v>
      </c>
      <c r="D57" s="6">
        <f>'MẪU 09'!E64</f>
        <v>8025030</v>
      </c>
      <c r="E57" s="10">
        <f t="shared" si="0"/>
        <v>8025030</v>
      </c>
      <c r="F57" s="39"/>
      <c r="I57" s="1"/>
      <c r="N57" s="1"/>
      <c r="O57" s="1"/>
    </row>
    <row r="58" spans="1:27" x14ac:dyDescent="0.3">
      <c r="A58" s="9">
        <v>50</v>
      </c>
      <c r="B58" s="42" t="s">
        <v>6</v>
      </c>
      <c r="C58" s="46">
        <v>5606205339784</v>
      </c>
      <c r="D58" s="6">
        <f>'MẪU 09'!E66</f>
        <v>6573294</v>
      </c>
      <c r="E58" s="10">
        <f t="shared" si="0"/>
        <v>6573294</v>
      </c>
      <c r="F58" s="44"/>
      <c r="I58" s="1"/>
      <c r="N58" s="1"/>
      <c r="O58" s="1"/>
    </row>
    <row r="59" spans="1:27" x14ac:dyDescent="0.3">
      <c r="A59" s="9">
        <v>51</v>
      </c>
      <c r="B59" s="42" t="s">
        <v>172</v>
      </c>
      <c r="C59" s="47" t="s">
        <v>235</v>
      </c>
      <c r="D59" s="6">
        <f>'MẪU 09'!E67</f>
        <v>5442372</v>
      </c>
      <c r="E59" s="10">
        <f t="shared" si="0"/>
        <v>5442372</v>
      </c>
      <c r="F59" s="44"/>
      <c r="I59" s="1"/>
      <c r="N59" s="1"/>
      <c r="O59" s="1"/>
    </row>
    <row r="60" spans="1:27" x14ac:dyDescent="0.3">
      <c r="A60" s="9">
        <v>52</v>
      </c>
      <c r="B60" s="45" t="s">
        <v>212</v>
      </c>
      <c r="C60" s="48" t="s">
        <v>274</v>
      </c>
      <c r="D60" s="6">
        <f>'MẪU 09'!E68</f>
        <v>5065398</v>
      </c>
      <c r="E60" s="10">
        <f t="shared" si="0"/>
        <v>5065398</v>
      </c>
      <c r="F60" s="44"/>
      <c r="I60" s="1"/>
      <c r="N60" s="1"/>
      <c r="O60" s="1"/>
    </row>
    <row r="61" spans="1:27" x14ac:dyDescent="0.3">
      <c r="A61" s="9">
        <v>53</v>
      </c>
      <c r="B61" s="45" t="s">
        <v>213</v>
      </c>
      <c r="C61" s="48" t="s">
        <v>275</v>
      </c>
      <c r="D61" s="6">
        <f>'MẪU 09'!E69</f>
        <v>5149170</v>
      </c>
      <c r="E61" s="10">
        <f t="shared" si="0"/>
        <v>5149170</v>
      </c>
      <c r="F61" s="44"/>
      <c r="I61" s="1"/>
      <c r="N61" s="1"/>
      <c r="O61" s="1"/>
    </row>
    <row r="62" spans="1:27" x14ac:dyDescent="0.3">
      <c r="A62" s="13"/>
      <c r="B62" s="11" t="s">
        <v>131</v>
      </c>
      <c r="C62" s="13"/>
      <c r="D62" s="14">
        <f>SUM(D9:D61)</f>
        <v>783096188</v>
      </c>
      <c r="E62" s="14">
        <f>SUM(E9:E61)</f>
        <v>783096188</v>
      </c>
      <c r="F62" s="13"/>
      <c r="G62" s="8"/>
      <c r="H62" s="8"/>
      <c r="I62" s="1"/>
      <c r="N62" s="1"/>
      <c r="O62" s="1"/>
    </row>
    <row r="63" spans="1:27" x14ac:dyDescent="0.3">
      <c r="A63" s="289" t="s">
        <v>376</v>
      </c>
      <c r="B63" s="289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  <c r="V63" s="289"/>
      <c r="W63" s="289"/>
      <c r="X63" s="289"/>
      <c r="Y63" s="289"/>
      <c r="Z63" s="289"/>
      <c r="AA63" s="289"/>
    </row>
    <row r="64" spans="1:27" x14ac:dyDescent="0.3">
      <c r="A64" s="20"/>
      <c r="B64" s="20"/>
      <c r="C64" s="20"/>
      <c r="D64" s="290" t="s">
        <v>370</v>
      </c>
      <c r="E64" s="290"/>
      <c r="F64" s="290"/>
      <c r="I64" s="1"/>
      <c r="N64" s="1"/>
      <c r="O64" s="1"/>
    </row>
    <row r="65" spans="1:45" s="16" customFormat="1" ht="27" customHeight="1" x14ac:dyDescent="0.3">
      <c r="A65" s="283" t="s">
        <v>132</v>
      </c>
      <c r="B65" s="283"/>
      <c r="C65" s="33"/>
      <c r="D65" s="279" t="s">
        <v>65</v>
      </c>
      <c r="E65" s="279"/>
      <c r="F65" s="279"/>
    </row>
    <row r="66" spans="1:45" s="16" customFormat="1" x14ac:dyDescent="0.3">
      <c r="A66" s="25"/>
      <c r="B66" s="25"/>
      <c r="C66" s="25"/>
      <c r="E66" s="287"/>
      <c r="F66" s="287"/>
    </row>
    <row r="67" spans="1:45" s="16" customFormat="1" x14ac:dyDescent="0.3">
      <c r="A67" s="25"/>
      <c r="B67" s="25"/>
      <c r="C67" s="25"/>
      <c r="E67" s="24"/>
      <c r="F67" s="15"/>
      <c r="G67" s="40"/>
    </row>
    <row r="68" spans="1:45" s="16" customFormat="1" x14ac:dyDescent="0.3">
      <c r="A68" s="25"/>
      <c r="B68" s="25"/>
      <c r="C68" s="25"/>
      <c r="E68" s="24"/>
      <c r="F68" s="15"/>
      <c r="J68" s="15"/>
    </row>
    <row r="69" spans="1:45" s="16" customFormat="1" x14ac:dyDescent="0.3">
      <c r="A69" s="283" t="s">
        <v>174</v>
      </c>
      <c r="B69" s="283"/>
      <c r="C69" s="25"/>
      <c r="D69" s="280" t="s">
        <v>321</v>
      </c>
      <c r="E69" s="280"/>
      <c r="F69" s="280"/>
    </row>
    <row r="70" spans="1:45" s="16" customFormat="1" x14ac:dyDescent="0.3">
      <c r="A70" s="34"/>
      <c r="C70" s="25"/>
      <c r="D70" s="25"/>
      <c r="E70" s="35"/>
      <c r="F70" s="25"/>
    </row>
    <row r="71" spans="1:45" x14ac:dyDescent="0.3">
      <c r="A71" s="20"/>
      <c r="B71" s="20"/>
      <c r="C71" s="282"/>
      <c r="D71" s="282"/>
      <c r="E71" s="20"/>
      <c r="F71" s="20"/>
      <c r="I71" s="1"/>
      <c r="N71" s="1"/>
      <c r="O71" s="1"/>
    </row>
    <row r="72" spans="1:45" x14ac:dyDescent="0.3">
      <c r="A72" s="1"/>
      <c r="C72" s="1"/>
      <c r="E72" s="41"/>
      <c r="I72" s="1"/>
      <c r="N72" s="1"/>
      <c r="O72" s="1"/>
    </row>
    <row r="73" spans="1:45" x14ac:dyDescent="0.3">
      <c r="A73" s="1"/>
      <c r="C73" s="1"/>
      <c r="I73" s="1"/>
      <c r="N73" s="1"/>
      <c r="O73" s="1"/>
    </row>
    <row r="74" spans="1:45" ht="20.25" customHeight="1" x14ac:dyDescent="0.3">
      <c r="A74" s="1"/>
      <c r="C74" s="1"/>
      <c r="I74" s="1"/>
      <c r="N74" s="1"/>
      <c r="O74" s="1"/>
    </row>
    <row r="75" spans="1:45" x14ac:dyDescent="0.3">
      <c r="A75" s="1"/>
      <c r="C75" s="1"/>
      <c r="I75" s="1"/>
      <c r="N75" s="1"/>
      <c r="O75" s="1"/>
    </row>
    <row r="76" spans="1:45" x14ac:dyDescent="0.3">
      <c r="A76" s="1"/>
      <c r="C76" s="1"/>
      <c r="I76" s="1"/>
      <c r="N76" s="1"/>
      <c r="O76" s="1"/>
    </row>
    <row r="77" spans="1:45" x14ac:dyDescent="0.3">
      <c r="A77" s="1"/>
      <c r="C77" s="1"/>
      <c r="I77" s="1"/>
      <c r="N77" s="1"/>
      <c r="O77" s="1"/>
    </row>
    <row r="78" spans="1:45" x14ac:dyDescent="0.3">
      <c r="A78" s="1"/>
      <c r="C78" s="1"/>
      <c r="I78" s="1"/>
      <c r="N78" s="1"/>
      <c r="O78" s="1"/>
    </row>
    <row r="79" spans="1:45" x14ac:dyDescent="0.3">
      <c r="P79" s="4"/>
      <c r="Q79" s="5"/>
      <c r="R79" s="4"/>
      <c r="S79" s="4"/>
      <c r="T79" s="4"/>
      <c r="U79" s="4"/>
      <c r="V79" s="5"/>
      <c r="W79" s="4"/>
      <c r="X79" s="4"/>
      <c r="Y79" s="4"/>
      <c r="Z79" s="4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spans="1:45" x14ac:dyDescent="0.3">
      <c r="P80" s="4"/>
      <c r="Q80" s="5"/>
      <c r="R80" s="4"/>
      <c r="S80" s="4"/>
      <c r="T80" s="4"/>
      <c r="U80" s="4"/>
      <c r="V80" s="5"/>
      <c r="W80" s="4"/>
      <c r="X80" s="4"/>
      <c r="Y80" s="4"/>
      <c r="Z80" s="4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</sheetData>
  <mergeCells count="16">
    <mergeCell ref="D65:F65"/>
    <mergeCell ref="D69:F69"/>
    <mergeCell ref="A1:F1"/>
    <mergeCell ref="C71:D71"/>
    <mergeCell ref="A69:B69"/>
    <mergeCell ref="A2:E2"/>
    <mergeCell ref="A3:E3"/>
    <mergeCell ref="A4:E4"/>
    <mergeCell ref="A5:F5"/>
    <mergeCell ref="A65:B65"/>
    <mergeCell ref="A6:F6"/>
    <mergeCell ref="E66:F66"/>
    <mergeCell ref="E7:F7"/>
    <mergeCell ref="A63:AA63"/>
    <mergeCell ref="D64:F64"/>
    <mergeCell ref="G43:G47"/>
  </mergeCells>
  <printOptions horizontalCentered="1"/>
  <pageMargins left="0.2" right="0" top="0.16" bottom="0.23622047244094491" header="0.16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topLeftCell="A24" zoomScaleNormal="100" workbookViewId="0">
      <selection activeCell="B71" sqref="B71:Q71"/>
    </sheetView>
  </sheetViews>
  <sheetFormatPr defaultColWidth="8.109375" defaultRowHeight="18.75" x14ac:dyDescent="0.3"/>
  <cols>
    <col min="1" max="1" width="5.21875" style="218" customWidth="1"/>
    <col min="2" max="2" width="15.109375" style="49" customWidth="1"/>
    <col min="3" max="3" width="16.5546875" style="61" customWidth="1"/>
    <col min="4" max="4" width="15.6640625" style="49" customWidth="1"/>
    <col min="5" max="5" width="10.6640625" style="49" customWidth="1"/>
    <col min="6" max="6" width="12.88671875" style="49" customWidth="1"/>
    <col min="7" max="7" width="0.21875" style="49" hidden="1" customWidth="1"/>
    <col min="8" max="8" width="9.6640625" style="49" customWidth="1"/>
    <col min="9" max="9" width="6.77734375" style="49" customWidth="1"/>
    <col min="10" max="10" width="5.88671875" style="86" customWidth="1"/>
    <col min="11" max="11" width="12.33203125" style="49" customWidth="1"/>
    <col min="12" max="12" width="0.6640625" style="49" hidden="1" customWidth="1"/>
    <col min="13" max="13" width="9" style="49" hidden="1" customWidth="1"/>
    <col min="14" max="14" width="8.88671875" style="49" customWidth="1"/>
    <col min="15" max="15" width="9.44140625" style="49" customWidth="1"/>
    <col min="16" max="16" width="18.44140625" style="91" customWidth="1"/>
    <col min="17" max="17" width="9.5546875" style="91" customWidth="1"/>
    <col min="18" max="19" width="8.109375" style="49"/>
    <col min="20" max="20" width="9.109375" style="49" bestFit="1" customWidth="1"/>
    <col min="21" max="16384" width="8.109375" style="49"/>
  </cols>
  <sheetData>
    <row r="1" spans="1:17" x14ac:dyDescent="0.3">
      <c r="A1" s="49"/>
      <c r="D1" s="145"/>
      <c r="E1" s="145"/>
      <c r="F1" s="146"/>
      <c r="G1" s="146"/>
      <c r="H1" s="145"/>
      <c r="I1" s="145"/>
      <c r="J1" s="147"/>
      <c r="K1" s="145"/>
      <c r="L1" s="145"/>
      <c r="M1" s="145"/>
      <c r="N1" s="145"/>
      <c r="O1" s="148" t="s">
        <v>117</v>
      </c>
      <c r="P1" s="146"/>
      <c r="Q1" s="146"/>
    </row>
    <row r="2" spans="1:17" x14ac:dyDescent="0.3">
      <c r="B2" s="297" t="s">
        <v>78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13"/>
      <c r="N2" s="213"/>
      <c r="O2" s="148" t="s">
        <v>118</v>
      </c>
      <c r="P2" s="146"/>
      <c r="Q2" s="146"/>
    </row>
    <row r="3" spans="1:17" x14ac:dyDescent="0.3">
      <c r="B3" s="213"/>
      <c r="C3" s="300" t="s">
        <v>368</v>
      </c>
      <c r="D3" s="300"/>
      <c r="E3" s="300"/>
      <c r="F3" s="300"/>
      <c r="G3" s="300"/>
      <c r="H3" s="300"/>
      <c r="I3" s="213"/>
      <c r="J3" s="149"/>
      <c r="K3" s="213"/>
      <c r="L3" s="213"/>
      <c r="M3" s="213"/>
      <c r="N3" s="213"/>
      <c r="O3" s="148" t="s">
        <v>330</v>
      </c>
      <c r="P3" s="146"/>
      <c r="Q3" s="146"/>
    </row>
    <row r="4" spans="1:17" ht="18.75" customHeight="1" x14ac:dyDescent="0.3">
      <c r="B4" s="213"/>
      <c r="C4" s="150"/>
      <c r="D4" s="213" t="s">
        <v>260</v>
      </c>
      <c r="E4" s="221"/>
      <c r="F4" s="221" t="s">
        <v>79</v>
      </c>
      <c r="G4" s="221"/>
      <c r="H4" s="213"/>
      <c r="I4" s="213"/>
      <c r="J4" s="149"/>
      <c r="K4" s="213"/>
      <c r="L4" s="213"/>
      <c r="M4" s="213"/>
      <c r="N4" s="213"/>
      <c r="O4" s="148"/>
      <c r="P4" s="146"/>
      <c r="Q4" s="146"/>
    </row>
    <row r="5" spans="1:17" s="51" customFormat="1" ht="24" customHeight="1" x14ac:dyDescent="0.3">
      <c r="A5" s="298" t="s">
        <v>198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21"/>
    </row>
    <row r="6" spans="1:17" s="51" customFormat="1" ht="20.25" customHeight="1" x14ac:dyDescent="0.3">
      <c r="A6" s="299" t="s">
        <v>199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22"/>
    </row>
    <row r="7" spans="1:17" s="51" customFormat="1" ht="17.25" customHeight="1" x14ac:dyDescent="0.3">
      <c r="A7" s="151" t="s">
        <v>239</v>
      </c>
      <c r="B7" s="49"/>
      <c r="C7" s="61"/>
      <c r="D7" s="151"/>
      <c r="E7" s="152"/>
      <c r="F7" s="152"/>
      <c r="G7" s="152"/>
      <c r="H7" s="152"/>
      <c r="I7" s="152"/>
      <c r="J7" s="152"/>
      <c r="K7" s="152"/>
      <c r="L7" s="152"/>
      <c r="M7" s="145"/>
      <c r="N7" s="145"/>
      <c r="O7" s="145"/>
      <c r="P7" s="146"/>
      <c r="Q7" s="146"/>
    </row>
    <row r="8" spans="1:17" s="51" customFormat="1" ht="39" customHeight="1" x14ac:dyDescent="0.3">
      <c r="A8" s="321" t="s">
        <v>331</v>
      </c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146"/>
    </row>
    <row r="9" spans="1:17" s="51" customFormat="1" ht="18" customHeight="1" x14ac:dyDescent="0.3">
      <c r="A9" s="104"/>
      <c r="B9" s="104"/>
      <c r="C9" s="61"/>
      <c r="D9" s="104"/>
      <c r="E9" s="104"/>
      <c r="F9" s="146"/>
      <c r="G9" s="146"/>
      <c r="H9" s="145"/>
      <c r="I9" s="145"/>
      <c r="J9" s="147"/>
      <c r="K9" s="145"/>
      <c r="L9" s="145"/>
      <c r="M9" s="145"/>
      <c r="N9" s="145"/>
      <c r="O9" s="145"/>
      <c r="P9" s="153" t="s">
        <v>240</v>
      </c>
      <c r="Q9" s="153"/>
    </row>
    <row r="10" spans="1:17" s="51" customFormat="1" ht="18" customHeight="1" x14ac:dyDescent="0.2">
      <c r="A10" s="301" t="s">
        <v>0</v>
      </c>
      <c r="B10" s="305" t="s">
        <v>31</v>
      </c>
      <c r="C10" s="304" t="s">
        <v>80</v>
      </c>
      <c r="D10" s="304"/>
      <c r="E10" s="308" t="s">
        <v>365</v>
      </c>
      <c r="F10" s="304" t="s">
        <v>81</v>
      </c>
      <c r="G10" s="304"/>
      <c r="H10" s="304"/>
      <c r="I10" s="304"/>
      <c r="J10" s="304"/>
      <c r="K10" s="304"/>
      <c r="L10" s="304"/>
      <c r="M10" s="304"/>
      <c r="N10" s="304"/>
      <c r="O10" s="304"/>
      <c r="P10" s="305" t="s">
        <v>119</v>
      </c>
      <c r="Q10" s="154"/>
    </row>
    <row r="11" spans="1:17" s="51" customFormat="1" ht="30.75" customHeight="1" x14ac:dyDescent="0.2">
      <c r="A11" s="302"/>
      <c r="B11" s="306"/>
      <c r="C11" s="315" t="s">
        <v>82</v>
      </c>
      <c r="D11" s="304" t="s">
        <v>83</v>
      </c>
      <c r="E11" s="308"/>
      <c r="F11" s="304" t="s">
        <v>84</v>
      </c>
      <c r="G11" s="261"/>
      <c r="H11" s="304" t="s">
        <v>281</v>
      </c>
      <c r="I11" s="304" t="s">
        <v>238</v>
      </c>
      <c r="J11" s="322" t="s">
        <v>120</v>
      </c>
      <c r="K11" s="326" t="s">
        <v>121</v>
      </c>
      <c r="L11" s="327"/>
      <c r="M11" s="328"/>
      <c r="N11" s="304" t="s">
        <v>242</v>
      </c>
      <c r="O11" s="304" t="s">
        <v>122</v>
      </c>
      <c r="P11" s="306"/>
      <c r="Q11" s="211" t="e">
        <f>Q15-P15</f>
        <v>#REF!</v>
      </c>
    </row>
    <row r="12" spans="1:17" s="51" customFormat="1" ht="28.5" customHeight="1" x14ac:dyDescent="0.2">
      <c r="A12" s="303"/>
      <c r="B12" s="307"/>
      <c r="C12" s="315"/>
      <c r="D12" s="304"/>
      <c r="E12" s="308"/>
      <c r="F12" s="304"/>
      <c r="G12" s="261"/>
      <c r="H12" s="304"/>
      <c r="I12" s="304"/>
      <c r="J12" s="322"/>
      <c r="K12" s="329"/>
      <c r="L12" s="330"/>
      <c r="M12" s="331"/>
      <c r="N12" s="304"/>
      <c r="O12" s="304"/>
      <c r="P12" s="307"/>
      <c r="Q12" s="154"/>
    </row>
    <row r="13" spans="1:17" ht="19.5" customHeight="1" x14ac:dyDescent="0.3">
      <c r="A13" s="155" t="s">
        <v>241</v>
      </c>
      <c r="B13" s="155" t="s">
        <v>243</v>
      </c>
      <c r="C13" s="335" t="s">
        <v>244</v>
      </c>
      <c r="D13" s="336"/>
      <c r="E13" s="155" t="s">
        <v>245</v>
      </c>
      <c r="F13" s="155" t="s">
        <v>246</v>
      </c>
      <c r="G13" s="155" t="s">
        <v>241</v>
      </c>
      <c r="H13" s="155" t="s">
        <v>247</v>
      </c>
      <c r="I13" s="155" t="s">
        <v>248</v>
      </c>
      <c r="J13" s="155" t="s">
        <v>249</v>
      </c>
      <c r="K13" s="312" t="s">
        <v>250</v>
      </c>
      <c r="L13" s="313"/>
      <c r="M13" s="313"/>
      <c r="N13" s="155" t="s">
        <v>251</v>
      </c>
      <c r="O13" s="155" t="s">
        <v>252</v>
      </c>
      <c r="P13" s="212" t="s">
        <v>253</v>
      </c>
      <c r="Q13" s="156"/>
    </row>
    <row r="14" spans="1:17" x14ac:dyDescent="0.3">
      <c r="A14" s="58"/>
      <c r="B14" s="157" t="s">
        <v>85</v>
      </c>
      <c r="C14" s="158"/>
      <c r="D14" s="58"/>
      <c r="E14" s="159">
        <f>F14+H14</f>
        <v>783096188</v>
      </c>
      <c r="F14" s="159">
        <f>F15</f>
        <v>760865954</v>
      </c>
      <c r="G14" s="159" t="e">
        <f>G15+#REF!</f>
        <v>#REF!</v>
      </c>
      <c r="H14" s="159">
        <f>H65</f>
        <v>22230234</v>
      </c>
      <c r="I14" s="159">
        <f>I15</f>
        <v>0</v>
      </c>
      <c r="J14" s="159">
        <f t="shared" ref="J14:O14" si="0">J15</f>
        <v>0</v>
      </c>
      <c r="K14" s="159">
        <v>0</v>
      </c>
      <c r="L14" s="159" t="e">
        <f>L15+#REF!</f>
        <v>#REF!</v>
      </c>
      <c r="M14" s="159" t="e">
        <f>M15+#REF!</f>
        <v>#REF!</v>
      </c>
      <c r="N14" s="159">
        <f t="shared" si="0"/>
        <v>0</v>
      </c>
      <c r="O14" s="159">
        <f t="shared" si="0"/>
        <v>0</v>
      </c>
      <c r="P14" s="160"/>
      <c r="Q14" s="266"/>
    </row>
    <row r="15" spans="1:17" ht="18.75" customHeight="1" x14ac:dyDescent="0.3">
      <c r="A15" s="223" t="s">
        <v>61</v>
      </c>
      <c r="B15" s="323" t="s">
        <v>277</v>
      </c>
      <c r="C15" s="324"/>
      <c r="D15" s="325"/>
      <c r="E15" s="161">
        <f>SUM(E16:E64)</f>
        <v>760865954</v>
      </c>
      <c r="F15" s="161">
        <f>SUM(F16:F64)</f>
        <v>760865954</v>
      </c>
      <c r="G15" s="161" t="e">
        <f>SUM(G16:G59)</f>
        <v>#REF!</v>
      </c>
      <c r="H15" s="161"/>
      <c r="I15" s="161"/>
      <c r="J15" s="161">
        <f>SUM(J16:J58)</f>
        <v>0</v>
      </c>
      <c r="K15" s="161">
        <f>SUM(K16:K64)</f>
        <v>0</v>
      </c>
      <c r="L15" s="161">
        <f>SUM(L16:L64)</f>
        <v>0</v>
      </c>
      <c r="M15" s="161">
        <f>SUM(M16:M64)</f>
        <v>0</v>
      </c>
      <c r="N15" s="161">
        <f>SUM(N16:N58)</f>
        <v>0</v>
      </c>
      <c r="O15" s="161">
        <f>SUM(O16:O58)</f>
        <v>0</v>
      </c>
      <c r="P15" s="161">
        <f>SUM(P16:P69)</f>
        <v>0</v>
      </c>
      <c r="Q15" s="130" t="e">
        <f>SUM(Q16:Q69)</f>
        <v>#REF!</v>
      </c>
    </row>
    <row r="16" spans="1:17" ht="19.5" customHeight="1" x14ac:dyDescent="0.3">
      <c r="A16" s="73" t="s">
        <v>137</v>
      </c>
      <c r="B16" s="74" t="s">
        <v>321</v>
      </c>
      <c r="C16" s="162" t="s">
        <v>324</v>
      </c>
      <c r="D16" s="74" t="s">
        <v>216</v>
      </c>
      <c r="E16" s="163">
        <f>F16+H16</f>
        <v>22575169</v>
      </c>
      <c r="F16" s="81">
        <f>'luong 8-2024'!AH9</f>
        <v>22575169</v>
      </c>
      <c r="G16" s="81">
        <v>473659</v>
      </c>
      <c r="H16" s="74"/>
      <c r="I16" s="81"/>
      <c r="J16" s="81"/>
      <c r="K16" s="81"/>
      <c r="L16" s="81"/>
      <c r="M16" s="81"/>
      <c r="N16" s="81"/>
      <c r="O16" s="81"/>
      <c r="P16" s="167"/>
      <c r="Q16" s="167"/>
    </row>
    <row r="17" spans="1:18" ht="19.5" customHeight="1" x14ac:dyDescent="0.3">
      <c r="A17" s="73" t="s">
        <v>138</v>
      </c>
      <c r="B17" s="74" t="s">
        <v>89</v>
      </c>
      <c r="C17" s="162" t="s">
        <v>217</v>
      </c>
      <c r="D17" s="74" t="s">
        <v>216</v>
      </c>
      <c r="E17" s="163">
        <f t="shared" ref="E17:E63" si="1">F17+H17</f>
        <v>17339072</v>
      </c>
      <c r="F17" s="81">
        <f>'luong 8-2024'!AH10</f>
        <v>17339072</v>
      </c>
      <c r="G17" s="81">
        <f>4332504+1005813</f>
        <v>5338317</v>
      </c>
      <c r="H17" s="74"/>
      <c r="I17" s="81"/>
      <c r="J17" s="81"/>
      <c r="K17" s="81"/>
      <c r="L17" s="81"/>
      <c r="M17" s="81"/>
      <c r="N17" s="81"/>
      <c r="O17" s="81"/>
      <c r="P17" s="167" t="s">
        <v>334</v>
      </c>
      <c r="Q17" s="167" t="e">
        <f>'luong 8-2024'!AH10+'luong 8-2024'!#REF!-#REF!</f>
        <v>#REF!</v>
      </c>
    </row>
    <row r="18" spans="1:18" ht="19.5" customHeight="1" x14ac:dyDescent="0.3">
      <c r="A18" s="73" t="s">
        <v>139</v>
      </c>
      <c r="B18" s="74" t="s">
        <v>24</v>
      </c>
      <c r="C18" s="165" t="s">
        <v>236</v>
      </c>
      <c r="D18" s="74" t="s">
        <v>216</v>
      </c>
      <c r="E18" s="163">
        <f t="shared" si="1"/>
        <v>17375904</v>
      </c>
      <c r="F18" s="81">
        <f>'luong 8-2024'!AH11</f>
        <v>17375904</v>
      </c>
      <c r="G18" s="81">
        <v>428295</v>
      </c>
      <c r="H18" s="74"/>
      <c r="I18" s="81"/>
      <c r="J18" s="81"/>
      <c r="K18" s="81"/>
      <c r="L18" s="81"/>
      <c r="M18" s="81"/>
      <c r="N18" s="81"/>
      <c r="O18" s="81"/>
      <c r="P18" s="167" t="s">
        <v>335</v>
      </c>
      <c r="Q18" s="167" t="e">
        <f>'luong 8-2024'!AH11+'luong 8-2024'!#REF!-#REF!</f>
        <v>#REF!</v>
      </c>
    </row>
    <row r="19" spans="1:18" ht="19.5" customHeight="1" x14ac:dyDescent="0.3">
      <c r="A19" s="73" t="s">
        <v>140</v>
      </c>
      <c r="B19" s="74" t="s">
        <v>14</v>
      </c>
      <c r="C19" s="162" t="s">
        <v>218</v>
      </c>
      <c r="D19" s="74" t="s">
        <v>216</v>
      </c>
      <c r="E19" s="163">
        <f t="shared" si="1"/>
        <v>16986520</v>
      </c>
      <c r="F19" s="81">
        <f>'luong 8-2024'!AH12</f>
        <v>16986520</v>
      </c>
      <c r="G19" s="81">
        <v>417749</v>
      </c>
      <c r="H19" s="74"/>
      <c r="I19" s="81"/>
      <c r="J19" s="81"/>
      <c r="K19" s="81"/>
      <c r="L19" s="81"/>
      <c r="M19" s="81"/>
      <c r="N19" s="81"/>
      <c r="O19" s="81"/>
      <c r="P19" s="167"/>
      <c r="Q19" s="167" t="e">
        <f>'luong 8-2024'!AH12+'luong 8-2024'!#REF!-#REF!</f>
        <v>#REF!</v>
      </c>
    </row>
    <row r="20" spans="1:18" ht="19.5" customHeight="1" x14ac:dyDescent="0.3">
      <c r="A20" s="73" t="s">
        <v>141</v>
      </c>
      <c r="B20" s="74" t="s">
        <v>15</v>
      </c>
      <c r="C20" s="166">
        <v>5606205371350</v>
      </c>
      <c r="D20" s="74" t="s">
        <v>216</v>
      </c>
      <c r="E20" s="163">
        <f t="shared" si="1"/>
        <v>15423577</v>
      </c>
      <c r="F20" s="81">
        <f>'luong 8-2024'!AH13</f>
        <v>15423577</v>
      </c>
      <c r="G20" s="81">
        <v>44043</v>
      </c>
      <c r="H20" s="74"/>
      <c r="I20" s="81"/>
      <c r="J20" s="81"/>
      <c r="K20" s="81"/>
      <c r="L20" s="81"/>
      <c r="M20" s="81"/>
      <c r="N20" s="81"/>
      <c r="O20" s="81"/>
      <c r="P20" s="167"/>
      <c r="Q20" s="167" t="e">
        <f>'luong 8-2024'!AH13+'luong 8-2024'!#REF!-#REF!</f>
        <v>#REF!</v>
      </c>
    </row>
    <row r="21" spans="1:18" ht="19.5" customHeight="1" x14ac:dyDescent="0.3">
      <c r="A21" s="73" t="s">
        <v>111</v>
      </c>
      <c r="B21" s="74" t="s">
        <v>16</v>
      </c>
      <c r="C21" s="166">
        <v>5606205370190</v>
      </c>
      <c r="D21" s="74" t="s">
        <v>216</v>
      </c>
      <c r="E21" s="163">
        <f t="shared" si="1"/>
        <v>15306158</v>
      </c>
      <c r="F21" s="81">
        <f>'luong 8-2024'!AH14</f>
        <v>15306158</v>
      </c>
      <c r="G21" s="81">
        <v>48263</v>
      </c>
      <c r="H21" s="74"/>
      <c r="I21" s="81"/>
      <c r="J21" s="81"/>
      <c r="K21" s="81"/>
      <c r="L21" s="81"/>
      <c r="M21" s="81"/>
      <c r="N21" s="81"/>
      <c r="O21" s="81"/>
      <c r="P21" s="167"/>
      <c r="Q21" s="167" t="e">
        <f>'luong 8-2024'!AH14+'luong 8-2024'!#REF!-#REF!</f>
        <v>#REF!</v>
      </c>
    </row>
    <row r="22" spans="1:18" ht="19.5" customHeight="1" x14ac:dyDescent="0.3">
      <c r="A22" s="73" t="s">
        <v>135</v>
      </c>
      <c r="B22" s="74" t="s">
        <v>17</v>
      </c>
      <c r="C22" s="166">
        <v>5606215000592</v>
      </c>
      <c r="D22" s="74" t="s">
        <v>216</v>
      </c>
      <c r="E22" s="163">
        <f t="shared" si="1"/>
        <v>17228389</v>
      </c>
      <c r="F22" s="81">
        <f>'luong 8-2024'!AH15</f>
        <v>17228389</v>
      </c>
      <c r="G22" s="81">
        <f>50900+6332053</f>
        <v>6382953</v>
      </c>
      <c r="H22" s="74"/>
      <c r="I22" s="81"/>
      <c r="J22" s="81"/>
      <c r="K22" s="81"/>
      <c r="L22" s="81"/>
      <c r="M22" s="81"/>
      <c r="N22" s="81"/>
      <c r="O22" s="81"/>
      <c r="P22" s="167"/>
      <c r="Q22" s="167" t="e">
        <f>'luong 8-2024'!AH15+'luong 8-2024'!#REF!-#REF!</f>
        <v>#REF!</v>
      </c>
    </row>
    <row r="23" spans="1:18" ht="19.5" customHeight="1" x14ac:dyDescent="0.3">
      <c r="A23" s="73" t="s">
        <v>109</v>
      </c>
      <c r="B23" s="74" t="s">
        <v>12</v>
      </c>
      <c r="C23" s="166">
        <v>5606205074346</v>
      </c>
      <c r="D23" s="74" t="s">
        <v>216</v>
      </c>
      <c r="E23" s="163">
        <f t="shared" si="1"/>
        <v>19552628</v>
      </c>
      <c r="F23" s="81">
        <f>'luong 8-2024'!AH16</f>
        <v>19552628</v>
      </c>
      <c r="G23" s="81">
        <v>55253</v>
      </c>
      <c r="H23" s="74"/>
      <c r="I23" s="81"/>
      <c r="J23" s="81"/>
      <c r="K23" s="81"/>
      <c r="L23" s="81"/>
      <c r="M23" s="81"/>
      <c r="N23" s="81"/>
      <c r="O23" s="81"/>
      <c r="P23" s="167" t="s">
        <v>336</v>
      </c>
      <c r="Q23" s="167" t="e">
        <f>'luong 8-2024'!AH16+'luong 8-2024'!#REF!-#REF!</f>
        <v>#REF!</v>
      </c>
    </row>
    <row r="24" spans="1:18" ht="19.5" customHeight="1" x14ac:dyDescent="0.3">
      <c r="A24" s="73" t="s">
        <v>136</v>
      </c>
      <c r="B24" s="74" t="s">
        <v>18</v>
      </c>
      <c r="C24" s="166">
        <v>5606215000478</v>
      </c>
      <c r="D24" s="74" t="s">
        <v>216</v>
      </c>
      <c r="E24" s="163">
        <f t="shared" si="1"/>
        <v>14497063</v>
      </c>
      <c r="F24" s="81">
        <f>'luong 8-2024'!AH17</f>
        <v>14497063</v>
      </c>
      <c r="G24" s="81">
        <f>8375773+560734</f>
        <v>8936507</v>
      </c>
      <c r="H24" s="74"/>
      <c r="I24" s="81"/>
      <c r="J24" s="81"/>
      <c r="K24" s="81"/>
      <c r="L24" s="81"/>
      <c r="M24" s="81"/>
      <c r="N24" s="81"/>
      <c r="O24" s="81"/>
      <c r="P24" s="167" t="s">
        <v>337</v>
      </c>
      <c r="Q24" s="167" t="e">
        <f>'luong 8-2024'!AH17+'luong 8-2024'!#REF!-#REF!</f>
        <v>#REF!</v>
      </c>
    </row>
    <row r="25" spans="1:18" ht="19.5" customHeight="1" x14ac:dyDescent="0.3">
      <c r="A25" s="73" t="s">
        <v>108</v>
      </c>
      <c r="B25" s="74" t="s">
        <v>25</v>
      </c>
      <c r="C25" s="166">
        <v>5606205371338</v>
      </c>
      <c r="D25" s="74" t="s">
        <v>216</v>
      </c>
      <c r="E25" s="163">
        <f t="shared" si="1"/>
        <v>16020546</v>
      </c>
      <c r="F25" s="81">
        <f>'luong 8-2024'!AH18</f>
        <v>16020546</v>
      </c>
      <c r="G25" s="81">
        <v>39559</v>
      </c>
      <c r="H25" s="74"/>
      <c r="I25" s="81"/>
      <c r="J25" s="81"/>
      <c r="K25" s="81"/>
      <c r="L25" s="81"/>
      <c r="M25" s="81"/>
      <c r="N25" s="81"/>
      <c r="O25" s="81"/>
      <c r="P25" s="167" t="s">
        <v>338</v>
      </c>
      <c r="Q25" s="167" t="e">
        <f>'luong 8-2024'!AH18+'luong 8-2024'!#REF!-#REF!</f>
        <v>#REF!</v>
      </c>
    </row>
    <row r="26" spans="1:18" ht="19.5" customHeight="1" x14ac:dyDescent="0.3">
      <c r="A26" s="73" t="s">
        <v>106</v>
      </c>
      <c r="B26" s="74" t="s">
        <v>93</v>
      </c>
      <c r="C26" s="166">
        <v>5606205371498</v>
      </c>
      <c r="D26" s="74" t="s">
        <v>216</v>
      </c>
      <c r="E26" s="163">
        <f t="shared" si="1"/>
        <v>17518485</v>
      </c>
      <c r="F26" s="81">
        <f>'luong 8-2024'!AH19</f>
        <v>17518485</v>
      </c>
      <c r="G26" s="81">
        <v>48263</v>
      </c>
      <c r="H26" s="74"/>
      <c r="I26" s="81"/>
      <c r="J26" s="81"/>
      <c r="K26" s="81"/>
      <c r="L26" s="81"/>
      <c r="M26" s="81"/>
      <c r="N26" s="81"/>
      <c r="O26" s="81"/>
      <c r="P26" s="167" t="s">
        <v>339</v>
      </c>
      <c r="Q26" s="167" t="e">
        <f>'luong 8-2024'!AH19+'luong 8-2024'!#REF!-#REF!</f>
        <v>#REF!</v>
      </c>
    </row>
    <row r="27" spans="1:18" ht="19.5" customHeight="1" x14ac:dyDescent="0.3">
      <c r="A27" s="73" t="s">
        <v>105</v>
      </c>
      <c r="B27" s="74" t="s">
        <v>19</v>
      </c>
      <c r="C27" s="165" t="s">
        <v>219</v>
      </c>
      <c r="D27" s="74" t="s">
        <v>216</v>
      </c>
      <c r="E27" s="163">
        <f t="shared" si="1"/>
        <v>17714567</v>
      </c>
      <c r="F27" s="81">
        <f>'luong 8-2024'!AH20</f>
        <v>17714567</v>
      </c>
      <c r="G27" s="81"/>
      <c r="H27" s="74"/>
      <c r="I27" s="81"/>
      <c r="J27" s="81"/>
      <c r="K27" s="81"/>
      <c r="L27" s="81"/>
      <c r="M27" s="81"/>
      <c r="N27" s="81"/>
      <c r="O27" s="81"/>
      <c r="P27" s="167" t="s">
        <v>340</v>
      </c>
      <c r="Q27" s="167" t="e">
        <f>'luong 8-2024'!AH20+'luong 8-2024'!#REF!-#REF!</f>
        <v>#REF!</v>
      </c>
    </row>
    <row r="28" spans="1:18" ht="19.5" customHeight="1" x14ac:dyDescent="0.3">
      <c r="A28" s="73" t="s">
        <v>103</v>
      </c>
      <c r="B28" s="74" t="s">
        <v>20</v>
      </c>
      <c r="C28" s="166">
        <v>5606205072278</v>
      </c>
      <c r="D28" s="74" t="s">
        <v>216</v>
      </c>
      <c r="E28" s="163">
        <f t="shared" si="1"/>
        <v>18881003</v>
      </c>
      <c r="F28" s="81">
        <f>'luong 8-2024'!AH21</f>
        <v>18881003</v>
      </c>
      <c r="G28" s="81"/>
      <c r="H28" s="74"/>
      <c r="I28" s="81"/>
      <c r="J28" s="81"/>
      <c r="K28" s="81"/>
      <c r="L28" s="81"/>
      <c r="M28" s="81"/>
      <c r="N28" s="81"/>
      <c r="O28" s="81"/>
      <c r="P28" s="167"/>
      <c r="Q28" s="167" t="e">
        <f>'luong 8-2024'!AH21+'luong 8-2024'!#REF!-#REF!</f>
        <v>#REF!</v>
      </c>
    </row>
    <row r="29" spans="1:18" ht="19.5" customHeight="1" x14ac:dyDescent="0.3">
      <c r="A29" s="73" t="s">
        <v>142</v>
      </c>
      <c r="B29" s="74" t="s">
        <v>21</v>
      </c>
      <c r="C29" s="166">
        <v>5606215004860</v>
      </c>
      <c r="D29" s="74" t="s">
        <v>216</v>
      </c>
      <c r="E29" s="163">
        <f t="shared" si="1"/>
        <v>15651324</v>
      </c>
      <c r="F29" s="81">
        <f>'luong 8-2024'!AH22</f>
        <v>15651324</v>
      </c>
      <c r="G29" s="81"/>
      <c r="H29" s="74"/>
      <c r="I29" s="81"/>
      <c r="J29" s="81"/>
      <c r="K29" s="81"/>
      <c r="L29" s="81"/>
      <c r="M29" s="81"/>
      <c r="N29" s="81"/>
      <c r="O29" s="81"/>
      <c r="P29" s="167" t="s">
        <v>341</v>
      </c>
      <c r="Q29" s="167" t="e">
        <f>'luong 8-2024'!AH22+'luong 8-2024'!#REF!-#REF!</f>
        <v>#REF!</v>
      </c>
    </row>
    <row r="30" spans="1:18" ht="19.5" customHeight="1" x14ac:dyDescent="0.3">
      <c r="A30" s="73" t="s">
        <v>143</v>
      </c>
      <c r="B30" s="74" t="s">
        <v>26</v>
      </c>
      <c r="C30" s="166">
        <v>5606205370177</v>
      </c>
      <c r="D30" s="74" t="s">
        <v>216</v>
      </c>
      <c r="E30" s="163">
        <f t="shared" si="1"/>
        <v>14267108</v>
      </c>
      <c r="F30" s="81">
        <f>'luong 8-2024'!AH23</f>
        <v>14267108</v>
      </c>
      <c r="G30" s="81"/>
      <c r="H30" s="74"/>
      <c r="I30" s="81"/>
      <c r="J30" s="81"/>
      <c r="K30" s="81"/>
      <c r="L30" s="81"/>
      <c r="M30" s="81"/>
      <c r="N30" s="81"/>
      <c r="O30" s="81"/>
      <c r="P30" s="167" t="s">
        <v>342</v>
      </c>
      <c r="Q30" s="167" t="e">
        <f>'luong 8-2024'!AH23+'luong 8-2024'!#REF!-#REF!</f>
        <v>#REF!</v>
      </c>
    </row>
    <row r="31" spans="1:18" ht="19.5" customHeight="1" x14ac:dyDescent="0.3">
      <c r="A31" s="73" t="s">
        <v>101</v>
      </c>
      <c r="B31" s="74" t="s">
        <v>94</v>
      </c>
      <c r="C31" s="166">
        <v>5606205371344</v>
      </c>
      <c r="D31" s="74" t="s">
        <v>216</v>
      </c>
      <c r="E31" s="163">
        <f t="shared" si="1"/>
        <v>14982797</v>
      </c>
      <c r="F31" s="81">
        <f>'luong 8-2024'!AH24</f>
        <v>14982797</v>
      </c>
      <c r="G31" s="81">
        <f>7574879+423067</f>
        <v>7997946</v>
      </c>
      <c r="H31" s="74"/>
      <c r="I31" s="81"/>
      <c r="J31" s="81"/>
      <c r="K31" s="81"/>
      <c r="L31" s="81"/>
      <c r="M31" s="81"/>
      <c r="N31" s="81"/>
      <c r="O31" s="81"/>
      <c r="P31" s="167" t="s">
        <v>374</v>
      </c>
      <c r="Q31" s="167" t="e">
        <f>'luong 8-2024'!AH24+'luong 8-2024'!#REF!-#REF!</f>
        <v>#REF!</v>
      </c>
      <c r="R31" s="49">
        <v>3683396</v>
      </c>
    </row>
    <row r="32" spans="1:18" ht="19.5" customHeight="1" x14ac:dyDescent="0.3">
      <c r="A32" s="73" t="s">
        <v>92</v>
      </c>
      <c r="B32" s="74" t="s">
        <v>88</v>
      </c>
      <c r="C32" s="166">
        <v>5606205370210</v>
      </c>
      <c r="D32" s="74" t="s">
        <v>216</v>
      </c>
      <c r="E32" s="163">
        <f t="shared" si="1"/>
        <v>14420412</v>
      </c>
      <c r="F32" s="81">
        <f>'luong 8-2024'!AH25</f>
        <v>14420412</v>
      </c>
      <c r="G32" s="81">
        <v>40350</v>
      </c>
      <c r="H32" s="74"/>
      <c r="I32" s="81"/>
      <c r="J32" s="81"/>
      <c r="K32" s="81"/>
      <c r="L32" s="81"/>
      <c r="M32" s="81"/>
      <c r="N32" s="81"/>
      <c r="O32" s="81"/>
      <c r="P32" s="167" t="s">
        <v>343</v>
      </c>
      <c r="Q32" s="167" t="e">
        <f>'luong 8-2024'!AH25+'luong 8-2024'!#REF!-#REF!</f>
        <v>#REF!</v>
      </c>
    </row>
    <row r="33" spans="1:20" ht="19.5" customHeight="1" x14ac:dyDescent="0.3">
      <c r="A33" s="73" t="s">
        <v>134</v>
      </c>
      <c r="B33" s="74" t="s">
        <v>10</v>
      </c>
      <c r="C33" s="162" t="s">
        <v>220</v>
      </c>
      <c r="D33" s="74" t="s">
        <v>216</v>
      </c>
      <c r="E33" s="163">
        <f t="shared" si="1"/>
        <v>15283805</v>
      </c>
      <c r="F33" s="81">
        <f>'luong 8-2024'!AH26</f>
        <v>15283805</v>
      </c>
      <c r="G33" s="81"/>
      <c r="H33" s="74"/>
      <c r="I33" s="81"/>
      <c r="J33" s="81"/>
      <c r="K33" s="81"/>
      <c r="L33" s="81"/>
      <c r="M33" s="81"/>
      <c r="N33" s="81"/>
      <c r="O33" s="81"/>
      <c r="P33" s="167" t="s">
        <v>344</v>
      </c>
      <c r="Q33" s="167" t="e">
        <f>'luong 8-2024'!AH26+'luong 8-2024'!#REF!-#REF!</f>
        <v>#REF!</v>
      </c>
    </row>
    <row r="34" spans="1:20" ht="19.5" customHeight="1" x14ac:dyDescent="0.3">
      <c r="A34" s="73" t="s">
        <v>97</v>
      </c>
      <c r="B34" s="74" t="s">
        <v>95</v>
      </c>
      <c r="C34" s="162" t="s">
        <v>221</v>
      </c>
      <c r="D34" s="74" t="s">
        <v>216</v>
      </c>
      <c r="E34" s="163">
        <f t="shared" si="1"/>
        <v>14982797</v>
      </c>
      <c r="F34" s="81">
        <f>'luong 8-2024'!AH27</f>
        <v>14982797</v>
      </c>
      <c r="G34" s="81">
        <v>37714</v>
      </c>
      <c r="H34" s="74"/>
      <c r="I34" s="81"/>
      <c r="J34" s="81"/>
      <c r="K34" s="81"/>
      <c r="L34" s="81"/>
      <c r="M34" s="81"/>
      <c r="N34" s="81"/>
      <c r="O34" s="81"/>
      <c r="P34" s="167" t="s">
        <v>342</v>
      </c>
      <c r="Q34" s="167" t="e">
        <f>'luong 8-2024'!AH27+'luong 8-2024'!#REF!-#REF!</f>
        <v>#REF!</v>
      </c>
    </row>
    <row r="35" spans="1:20" ht="19.5" customHeight="1" x14ac:dyDescent="0.3">
      <c r="A35" s="73" t="s">
        <v>99</v>
      </c>
      <c r="B35" s="74" t="s">
        <v>22</v>
      </c>
      <c r="C35" s="166">
        <v>5606205371481</v>
      </c>
      <c r="D35" s="74" t="s">
        <v>216</v>
      </c>
      <c r="E35" s="163">
        <f t="shared" si="1"/>
        <v>12877001</v>
      </c>
      <c r="F35" s="81">
        <f>'luong 8-2024'!AH28</f>
        <v>12877001</v>
      </c>
      <c r="G35" s="81">
        <f>243850+6386313</f>
        <v>6630163</v>
      </c>
      <c r="H35" s="74"/>
      <c r="I35" s="81"/>
      <c r="J35" s="81"/>
      <c r="K35" s="81"/>
      <c r="L35" s="81"/>
      <c r="M35" s="81"/>
      <c r="N35" s="81"/>
      <c r="O35" s="81"/>
      <c r="P35" s="167" t="s">
        <v>345</v>
      </c>
      <c r="Q35" s="167" t="e">
        <f>'luong 8-2024'!AH28+'luong 8-2024'!#REF!-#REF!</f>
        <v>#REF!</v>
      </c>
    </row>
    <row r="36" spans="1:20" ht="19.5" customHeight="1" x14ac:dyDescent="0.3">
      <c r="A36" s="73" t="s">
        <v>91</v>
      </c>
      <c r="B36" s="74" t="s">
        <v>3</v>
      </c>
      <c r="C36" s="165" t="s">
        <v>222</v>
      </c>
      <c r="D36" s="74" t="s">
        <v>216</v>
      </c>
      <c r="E36" s="163">
        <f t="shared" si="1"/>
        <v>20185132</v>
      </c>
      <c r="F36" s="81">
        <f>'luong 8-2024'!AH29</f>
        <v>20185132</v>
      </c>
      <c r="G36" s="81"/>
      <c r="H36" s="74"/>
      <c r="I36" s="81"/>
      <c r="J36" s="81"/>
      <c r="K36" s="81"/>
      <c r="L36" s="81"/>
      <c r="M36" s="81"/>
      <c r="N36" s="81"/>
      <c r="O36" s="81"/>
      <c r="P36" s="167" t="s">
        <v>346</v>
      </c>
      <c r="Q36" s="167" t="e">
        <f>'luong 8-2024'!AH29+'luong 8-2024'!#REF!-#REF!</f>
        <v>#REF!</v>
      </c>
    </row>
    <row r="37" spans="1:20" ht="19.5" customHeight="1" x14ac:dyDescent="0.3">
      <c r="A37" s="73" t="s">
        <v>144</v>
      </c>
      <c r="B37" s="74" t="s">
        <v>67</v>
      </c>
      <c r="C37" s="165" t="s">
        <v>223</v>
      </c>
      <c r="D37" s="74" t="s">
        <v>216</v>
      </c>
      <c r="E37" s="163">
        <f t="shared" si="1"/>
        <v>20395400</v>
      </c>
      <c r="F37" s="81">
        <f>'luong 8-2024'!AH30</f>
        <v>20395400</v>
      </c>
      <c r="G37" s="81">
        <v>619369</v>
      </c>
      <c r="H37" s="74"/>
      <c r="I37" s="81"/>
      <c r="J37" s="81"/>
      <c r="K37" s="81"/>
      <c r="L37" s="81"/>
      <c r="M37" s="81"/>
      <c r="N37" s="81"/>
      <c r="O37" s="81"/>
      <c r="P37" s="167" t="s">
        <v>375</v>
      </c>
      <c r="Q37" s="167" t="e">
        <f>'luong 8-2024'!AH30+'luong 8-2024'!#REF!-#REF!</f>
        <v>#REF!</v>
      </c>
      <c r="R37" s="49">
        <v>765952</v>
      </c>
      <c r="S37" s="49">
        <v>589194</v>
      </c>
      <c r="T37" s="86">
        <f>S37+R37</f>
        <v>1355146</v>
      </c>
    </row>
    <row r="38" spans="1:20" ht="19.5" customHeight="1" x14ac:dyDescent="0.3">
      <c r="A38" s="73" t="s">
        <v>145</v>
      </c>
      <c r="B38" s="74" t="s">
        <v>4</v>
      </c>
      <c r="C38" s="162" t="s">
        <v>224</v>
      </c>
      <c r="D38" s="74" t="s">
        <v>216</v>
      </c>
      <c r="E38" s="163">
        <f t="shared" si="1"/>
        <v>8699418</v>
      </c>
      <c r="F38" s="81">
        <f>'luong 8-2024'!AH31</f>
        <v>8699418</v>
      </c>
      <c r="G38" s="81">
        <v>527460</v>
      </c>
      <c r="H38" s="74"/>
      <c r="I38" s="81"/>
      <c r="J38" s="81"/>
      <c r="K38" s="81"/>
      <c r="L38" s="81"/>
      <c r="M38" s="81"/>
      <c r="N38" s="81"/>
      <c r="O38" s="81"/>
      <c r="P38" s="167"/>
      <c r="Q38" s="167" t="e">
        <f>'luong 8-2024'!AH31+'luong 8-2024'!#REF!-#REF!</f>
        <v>#REF!</v>
      </c>
    </row>
    <row r="39" spans="1:20" ht="19.5" customHeight="1" x14ac:dyDescent="0.3">
      <c r="A39" s="73" t="s">
        <v>146</v>
      </c>
      <c r="B39" s="74" t="s">
        <v>7</v>
      </c>
      <c r="C39" s="162" t="s">
        <v>225</v>
      </c>
      <c r="D39" s="74" t="s">
        <v>216</v>
      </c>
      <c r="E39" s="163">
        <f t="shared" si="1"/>
        <v>16070184</v>
      </c>
      <c r="F39" s="81">
        <f>'luong 8-2024'!AH32</f>
        <v>16070184</v>
      </c>
      <c r="G39" s="81">
        <f>754980+48263</f>
        <v>803243</v>
      </c>
      <c r="H39" s="74"/>
      <c r="I39" s="81"/>
      <c r="J39" s="81"/>
      <c r="K39" s="81"/>
      <c r="L39" s="81"/>
      <c r="M39" s="81"/>
      <c r="N39" s="81"/>
      <c r="O39" s="81"/>
      <c r="P39" s="167" t="s">
        <v>347</v>
      </c>
      <c r="Q39" s="167" t="e">
        <f>'luong 8-2024'!AH32+'luong 8-2024'!#REF!-#REF!</f>
        <v>#REF!</v>
      </c>
    </row>
    <row r="40" spans="1:20" ht="19.5" customHeight="1" x14ac:dyDescent="0.3">
      <c r="A40" s="73" t="s">
        <v>147</v>
      </c>
      <c r="B40" s="74" t="s">
        <v>8</v>
      </c>
      <c r="C40" s="165" t="s">
        <v>226</v>
      </c>
      <c r="D40" s="74" t="s">
        <v>216</v>
      </c>
      <c r="E40" s="163">
        <f t="shared" si="1"/>
        <v>20605667</v>
      </c>
      <c r="F40" s="81">
        <f>'luong 8-2024'!AH33</f>
        <v>20605667</v>
      </c>
      <c r="G40" s="81"/>
      <c r="H40" s="74"/>
      <c r="I40" s="81"/>
      <c r="J40" s="81"/>
      <c r="K40" s="81"/>
      <c r="L40" s="81"/>
      <c r="M40" s="81"/>
      <c r="N40" s="81"/>
      <c r="O40" s="81"/>
      <c r="P40" s="167" t="s">
        <v>348</v>
      </c>
      <c r="Q40" s="167" t="e">
        <f>'luong 8-2024'!AH33+'luong 8-2024'!#REF!-#REF!</f>
        <v>#REF!</v>
      </c>
    </row>
    <row r="41" spans="1:20" ht="19.5" customHeight="1" x14ac:dyDescent="0.3">
      <c r="A41" s="73" t="s">
        <v>148</v>
      </c>
      <c r="B41" s="74" t="s">
        <v>116</v>
      </c>
      <c r="C41" s="165" t="s">
        <v>227</v>
      </c>
      <c r="D41" s="74" t="s">
        <v>216</v>
      </c>
      <c r="E41" s="163">
        <f t="shared" si="1"/>
        <v>20290266</v>
      </c>
      <c r="F41" s="81">
        <f>'luong 8-2024'!AH34</f>
        <v>20290266</v>
      </c>
      <c r="G41" s="81"/>
      <c r="H41" s="74"/>
      <c r="I41" s="81"/>
      <c r="J41" s="81"/>
      <c r="K41" s="81"/>
      <c r="L41" s="81"/>
      <c r="M41" s="81"/>
      <c r="N41" s="81"/>
      <c r="O41" s="81"/>
      <c r="P41" s="167" t="s">
        <v>349</v>
      </c>
      <c r="Q41" s="167" t="e">
        <f>'luong 8-2024'!AH34+'luong 8-2024'!#REF!-#REF!</f>
        <v>#REF!</v>
      </c>
    </row>
    <row r="42" spans="1:20" ht="19.5" customHeight="1" x14ac:dyDescent="0.3">
      <c r="A42" s="73" t="s">
        <v>149</v>
      </c>
      <c r="B42" s="74" t="s">
        <v>11</v>
      </c>
      <c r="C42" s="162" t="s">
        <v>228</v>
      </c>
      <c r="D42" s="74" t="s">
        <v>216</v>
      </c>
      <c r="E42" s="163">
        <f t="shared" si="1"/>
        <v>11465532</v>
      </c>
      <c r="F42" s="81">
        <f>'luong 8-2024'!AH35</f>
        <v>11465532</v>
      </c>
      <c r="G42" s="81"/>
      <c r="H42" s="74"/>
      <c r="I42" s="81"/>
      <c r="J42" s="81"/>
      <c r="K42" s="81"/>
      <c r="L42" s="81"/>
      <c r="M42" s="81"/>
      <c r="N42" s="81"/>
      <c r="O42" s="81"/>
      <c r="P42" s="167" t="s">
        <v>350</v>
      </c>
      <c r="Q42" s="167" t="e">
        <f>'luong 8-2024'!AH35+'luong 8-2024'!#REF!-#REF!</f>
        <v>#REF!</v>
      </c>
    </row>
    <row r="43" spans="1:20" ht="19.5" customHeight="1" x14ac:dyDescent="0.3">
      <c r="A43" s="73" t="s">
        <v>150</v>
      </c>
      <c r="B43" s="74" t="s">
        <v>27</v>
      </c>
      <c r="C43" s="162" t="s">
        <v>229</v>
      </c>
      <c r="D43" s="74" t="s">
        <v>216</v>
      </c>
      <c r="E43" s="163">
        <f t="shared" si="1"/>
        <v>12877001</v>
      </c>
      <c r="F43" s="81">
        <f>'luong 8-2024'!AH36</f>
        <v>12877001</v>
      </c>
      <c r="G43" s="81"/>
      <c r="H43" s="74"/>
      <c r="I43" s="81"/>
      <c r="J43" s="81"/>
      <c r="K43" s="81"/>
      <c r="L43" s="81"/>
      <c r="M43" s="81"/>
      <c r="N43" s="81"/>
      <c r="O43" s="81"/>
      <c r="P43" s="167" t="s">
        <v>345</v>
      </c>
      <c r="Q43" s="167" t="e">
        <f>'luong 8-2024'!AH36+'luong 8-2024'!#REF!-#REF!</f>
        <v>#REF!</v>
      </c>
    </row>
    <row r="44" spans="1:20" ht="19.5" customHeight="1" x14ac:dyDescent="0.3">
      <c r="A44" s="73" t="s">
        <v>151</v>
      </c>
      <c r="B44" s="74" t="s">
        <v>77</v>
      </c>
      <c r="C44" s="166">
        <v>5606205371475</v>
      </c>
      <c r="D44" s="74" t="s">
        <v>216</v>
      </c>
      <c r="E44" s="163">
        <f t="shared" si="1"/>
        <v>20605667</v>
      </c>
      <c r="F44" s="81">
        <f>'luong 8-2024'!AH37</f>
        <v>20605667</v>
      </c>
      <c r="G44" s="81"/>
      <c r="H44" s="74"/>
      <c r="I44" s="81"/>
      <c r="J44" s="81"/>
      <c r="K44" s="81"/>
      <c r="L44" s="81"/>
      <c r="M44" s="81"/>
      <c r="N44" s="81"/>
      <c r="O44" s="81"/>
      <c r="P44" s="167" t="s">
        <v>348</v>
      </c>
      <c r="Q44" s="167" t="e">
        <f>'luong 8-2024'!AH37+'luong 8-2024'!#REF!-#REF!</f>
        <v>#REF!</v>
      </c>
    </row>
    <row r="45" spans="1:20" ht="19.5" customHeight="1" x14ac:dyDescent="0.3">
      <c r="A45" s="73" t="s">
        <v>152</v>
      </c>
      <c r="B45" s="74" t="s">
        <v>71</v>
      </c>
      <c r="C45" s="165" t="s">
        <v>237</v>
      </c>
      <c r="D45" s="74" t="s">
        <v>216</v>
      </c>
      <c r="E45" s="163">
        <f t="shared" si="1"/>
        <v>18897255</v>
      </c>
      <c r="F45" s="81">
        <f>'luong 8-2024'!AH38</f>
        <v>18897255</v>
      </c>
      <c r="G45" s="81">
        <v>52613</v>
      </c>
      <c r="H45" s="74"/>
      <c r="I45" s="81"/>
      <c r="J45" s="81"/>
      <c r="K45" s="81"/>
      <c r="L45" s="81"/>
      <c r="M45" s="81"/>
      <c r="N45" s="81"/>
      <c r="O45" s="81"/>
      <c r="P45" s="167" t="s">
        <v>351</v>
      </c>
      <c r="Q45" s="167" t="e">
        <f>'luong 8-2024'!AH38+'luong 8-2024'!#REF!-#REF!</f>
        <v>#REF!</v>
      </c>
    </row>
    <row r="46" spans="1:20" ht="19.5" customHeight="1" x14ac:dyDescent="0.3">
      <c r="A46" s="73" t="s">
        <v>153</v>
      </c>
      <c r="B46" s="74" t="s">
        <v>72</v>
      </c>
      <c r="C46" s="166">
        <v>5606205370075</v>
      </c>
      <c r="D46" s="74" t="s">
        <v>216</v>
      </c>
      <c r="E46" s="163">
        <f t="shared" si="1"/>
        <v>18083524</v>
      </c>
      <c r="F46" s="81">
        <f>'luong 8-2024'!AH39</f>
        <v>18083524</v>
      </c>
      <c r="G46" s="81">
        <v>54855</v>
      </c>
      <c r="H46" s="74"/>
      <c r="I46" s="81"/>
      <c r="J46" s="81"/>
      <c r="K46" s="81"/>
      <c r="L46" s="81"/>
      <c r="M46" s="81"/>
      <c r="N46" s="81"/>
      <c r="O46" s="81"/>
      <c r="P46" s="167" t="s">
        <v>339</v>
      </c>
      <c r="Q46" s="167" t="e">
        <f>'luong 8-2024'!AH39+'luong 8-2024'!#REF!-#REF!</f>
        <v>#REF!</v>
      </c>
    </row>
    <row r="47" spans="1:20" ht="19.5" customHeight="1" x14ac:dyDescent="0.3">
      <c r="A47" s="73" t="s">
        <v>154</v>
      </c>
      <c r="B47" s="74" t="s">
        <v>12</v>
      </c>
      <c r="C47" s="165" t="s">
        <v>230</v>
      </c>
      <c r="D47" s="74" t="s">
        <v>216</v>
      </c>
      <c r="E47" s="163">
        <f t="shared" si="1"/>
        <v>7334496</v>
      </c>
      <c r="F47" s="81">
        <f>'luong 8-2024'!AH40</f>
        <v>7334496</v>
      </c>
      <c r="G47" s="81"/>
      <c r="H47" s="74"/>
      <c r="I47" s="81"/>
      <c r="J47" s="81"/>
      <c r="K47" s="81"/>
      <c r="L47" s="81"/>
      <c r="M47" s="81"/>
      <c r="N47" s="81"/>
      <c r="O47" s="81"/>
      <c r="P47" s="167"/>
      <c r="Q47" s="167" t="e">
        <f>'luong 8-2024'!AH40+'luong 8-2024'!#REF!-#REF!</f>
        <v>#REF!</v>
      </c>
    </row>
    <row r="48" spans="1:20" ht="19.5" customHeight="1" x14ac:dyDescent="0.3">
      <c r="A48" s="73" t="s">
        <v>155</v>
      </c>
      <c r="B48" s="168" t="s">
        <v>96</v>
      </c>
      <c r="C48" s="165">
        <v>5606205441609</v>
      </c>
      <c r="D48" s="74" t="s">
        <v>216</v>
      </c>
      <c r="E48" s="163">
        <f t="shared" si="1"/>
        <v>19450427</v>
      </c>
      <c r="F48" s="81">
        <f>'luong 8-2024'!AH41</f>
        <v>19450427</v>
      </c>
      <c r="G48" s="81" t="e">
        <f>'luong 8-2024'!AI41+#REF!</f>
        <v>#REF!</v>
      </c>
      <c r="H48" s="74"/>
      <c r="I48" s="81"/>
      <c r="J48" s="81"/>
      <c r="K48" s="81"/>
      <c r="L48" s="81"/>
      <c r="M48" s="81"/>
      <c r="N48" s="81"/>
      <c r="O48" s="81"/>
      <c r="P48" s="167" t="s">
        <v>352</v>
      </c>
      <c r="Q48" s="167" t="e">
        <f>'luong 8-2024'!AH41+'luong 8-2024'!#REF!-#REF!</f>
        <v>#REF!</v>
      </c>
    </row>
    <row r="49" spans="1:17" ht="19.5" customHeight="1" x14ac:dyDescent="0.3">
      <c r="A49" s="73" t="s">
        <v>156</v>
      </c>
      <c r="B49" s="168" t="s">
        <v>98</v>
      </c>
      <c r="C49" s="165" t="s">
        <v>231</v>
      </c>
      <c r="D49" s="74" t="s">
        <v>216</v>
      </c>
      <c r="E49" s="163">
        <f t="shared" si="1"/>
        <v>20833385</v>
      </c>
      <c r="F49" s="81">
        <f>'luong 8-2024'!AH42</f>
        <v>20833385</v>
      </c>
      <c r="G49" s="81" t="e">
        <f>'luong 8-2024'!AI42+#REF!</f>
        <v>#REF!</v>
      </c>
      <c r="H49" s="74"/>
      <c r="I49" s="81"/>
      <c r="J49" s="81"/>
      <c r="K49" s="81"/>
      <c r="L49" s="81"/>
      <c r="M49" s="81"/>
      <c r="N49" s="81"/>
      <c r="O49" s="81"/>
      <c r="P49" s="167" t="s">
        <v>353</v>
      </c>
      <c r="Q49" s="167" t="e">
        <f>'luong 8-2024'!AH42+'luong 8-2024'!#REF!-#REF!</f>
        <v>#REF!</v>
      </c>
    </row>
    <row r="50" spans="1:17" ht="19.5" customHeight="1" x14ac:dyDescent="0.3">
      <c r="A50" s="73" t="s">
        <v>157</v>
      </c>
      <c r="B50" s="168" t="s">
        <v>100</v>
      </c>
      <c r="C50" s="169">
        <v>5606215000830</v>
      </c>
      <c r="D50" s="74" t="s">
        <v>216</v>
      </c>
      <c r="E50" s="163">
        <f t="shared" si="1"/>
        <v>17518485</v>
      </c>
      <c r="F50" s="81">
        <f>'luong 8-2024'!AH43</f>
        <v>17518485</v>
      </c>
      <c r="G50" s="81" t="e">
        <f>'luong 8-2024'!AI43+#REF!</f>
        <v>#REF!</v>
      </c>
      <c r="H50" s="74"/>
      <c r="I50" s="81"/>
      <c r="J50" s="81"/>
      <c r="K50" s="81"/>
      <c r="L50" s="81"/>
      <c r="M50" s="81"/>
      <c r="N50" s="81"/>
      <c r="O50" s="81"/>
      <c r="P50" s="167" t="s">
        <v>339</v>
      </c>
      <c r="Q50" s="167" t="e">
        <f>'luong 8-2024'!AH43+'luong 8-2024'!#REF!-#REF!</f>
        <v>#REF!</v>
      </c>
    </row>
    <row r="51" spans="1:17" ht="19.5" customHeight="1" x14ac:dyDescent="0.3">
      <c r="A51" s="73" t="s">
        <v>158</v>
      </c>
      <c r="B51" s="98" t="s">
        <v>201</v>
      </c>
      <c r="C51" s="169">
        <v>5606215008139</v>
      </c>
      <c r="D51" s="74" t="s">
        <v>216</v>
      </c>
      <c r="E51" s="163">
        <f t="shared" si="1"/>
        <v>14724083</v>
      </c>
      <c r="F51" s="81">
        <f>'luong 8-2024'!AH44</f>
        <v>14724083</v>
      </c>
      <c r="G51" s="81" t="e">
        <f>'luong 8-2024'!AI44+#REF!</f>
        <v>#REF!</v>
      </c>
      <c r="H51" s="74"/>
      <c r="I51" s="81"/>
      <c r="J51" s="81"/>
      <c r="K51" s="81"/>
      <c r="L51" s="81"/>
      <c r="M51" s="81"/>
      <c r="N51" s="81"/>
      <c r="O51" s="81"/>
      <c r="P51" s="167" t="s">
        <v>354</v>
      </c>
      <c r="Q51" s="167" t="e">
        <f>'luong 8-2024'!AH44+'luong 8-2024'!#REF!-#REF!</f>
        <v>#REF!</v>
      </c>
    </row>
    <row r="52" spans="1:17" ht="19.5" customHeight="1" x14ac:dyDescent="0.3">
      <c r="A52" s="73" t="s">
        <v>159</v>
      </c>
      <c r="B52" s="168" t="s">
        <v>102</v>
      </c>
      <c r="C52" s="165" t="s">
        <v>232</v>
      </c>
      <c r="D52" s="74" t="s">
        <v>216</v>
      </c>
      <c r="E52" s="163">
        <f t="shared" si="1"/>
        <v>19764598</v>
      </c>
      <c r="F52" s="81">
        <f>'luong 8-2024'!AH45</f>
        <v>19764598</v>
      </c>
      <c r="G52" s="81" t="e">
        <f>'luong 8-2024'!AI45+#REF!</f>
        <v>#REF!</v>
      </c>
      <c r="H52" s="74"/>
      <c r="I52" s="81"/>
      <c r="J52" s="81"/>
      <c r="K52" s="81"/>
      <c r="L52" s="81"/>
      <c r="M52" s="81"/>
      <c r="N52" s="81"/>
      <c r="O52" s="81"/>
      <c r="P52" s="167" t="s">
        <v>355</v>
      </c>
      <c r="Q52" s="167" t="e">
        <f>'luong 8-2024'!AH45+'luong 8-2024'!#REF!-#REF!</f>
        <v>#REF!</v>
      </c>
    </row>
    <row r="53" spans="1:17" ht="19.5" customHeight="1" x14ac:dyDescent="0.3">
      <c r="A53" s="73" t="s">
        <v>160</v>
      </c>
      <c r="B53" s="168" t="s">
        <v>104</v>
      </c>
      <c r="C53" s="169">
        <v>5606215000817</v>
      </c>
      <c r="D53" s="74" t="s">
        <v>216</v>
      </c>
      <c r="E53" s="163">
        <f t="shared" si="1"/>
        <v>16107460</v>
      </c>
      <c r="F53" s="81">
        <f>'luong 8-2024'!AH46</f>
        <v>16107460</v>
      </c>
      <c r="G53" s="81" t="e">
        <f>'luong 8-2024'!AI46+#REF!</f>
        <v>#REF!</v>
      </c>
      <c r="H53" s="74"/>
      <c r="I53" s="81"/>
      <c r="J53" s="81"/>
      <c r="K53" s="81"/>
      <c r="L53" s="81"/>
      <c r="M53" s="81"/>
      <c r="N53" s="81"/>
      <c r="O53" s="81"/>
      <c r="P53" s="167" t="s">
        <v>356</v>
      </c>
      <c r="Q53" s="167" t="e">
        <f>'luong 8-2024'!AH46+'luong 8-2024'!#REF!-#REF!</f>
        <v>#REF!</v>
      </c>
    </row>
    <row r="54" spans="1:17" ht="19.5" customHeight="1" x14ac:dyDescent="0.3">
      <c r="A54" s="73" t="s">
        <v>161</v>
      </c>
      <c r="B54" s="168" t="s">
        <v>107</v>
      </c>
      <c r="C54" s="169">
        <v>5606205370227</v>
      </c>
      <c r="D54" s="74" t="s">
        <v>216</v>
      </c>
      <c r="E54" s="163">
        <f t="shared" si="1"/>
        <v>13550107</v>
      </c>
      <c r="F54" s="81">
        <f>'luong 8-2024'!AH47</f>
        <v>13550107</v>
      </c>
      <c r="G54" s="81" t="e">
        <f>'luong 8-2024'!AI47+#REF!</f>
        <v>#REF!</v>
      </c>
      <c r="H54" s="74"/>
      <c r="I54" s="81"/>
      <c r="J54" s="81"/>
      <c r="K54" s="81"/>
      <c r="L54" s="81"/>
      <c r="M54" s="81"/>
      <c r="N54" s="81"/>
      <c r="O54" s="81"/>
      <c r="P54" s="167" t="s">
        <v>357</v>
      </c>
      <c r="Q54" s="167" t="e">
        <f>'luong 8-2024'!AH47+'luong 8-2024'!#REF!-#REF!</f>
        <v>#REF!</v>
      </c>
    </row>
    <row r="55" spans="1:17" ht="19.5" customHeight="1" x14ac:dyDescent="0.3">
      <c r="A55" s="73" t="s">
        <v>162</v>
      </c>
      <c r="B55" s="168" t="s">
        <v>110</v>
      </c>
      <c r="C55" s="170" t="s">
        <v>233</v>
      </c>
      <c r="D55" s="74" t="s">
        <v>216</v>
      </c>
      <c r="E55" s="163">
        <f t="shared" si="1"/>
        <v>12737521</v>
      </c>
      <c r="F55" s="81">
        <f>'luong 8-2024'!AH48</f>
        <v>12737521</v>
      </c>
      <c r="G55" s="81" t="e">
        <f>'luong 8-2024'!AI48+#REF!</f>
        <v>#REF!</v>
      </c>
      <c r="H55" s="74"/>
      <c r="I55" s="81"/>
      <c r="J55" s="81"/>
      <c r="K55" s="81"/>
      <c r="L55" s="81"/>
      <c r="M55" s="81"/>
      <c r="N55" s="81"/>
      <c r="O55" s="81"/>
      <c r="P55" s="167" t="s">
        <v>358</v>
      </c>
      <c r="Q55" s="167" t="e">
        <f>'luong 8-2024'!AH48+'luong 8-2024'!#REF!-#REF!</f>
        <v>#REF!</v>
      </c>
    </row>
    <row r="56" spans="1:17" ht="19.5" customHeight="1" x14ac:dyDescent="0.3">
      <c r="A56" s="73" t="s">
        <v>163</v>
      </c>
      <c r="B56" s="168" t="s">
        <v>112</v>
      </c>
      <c r="C56" s="169">
        <v>5606205170748</v>
      </c>
      <c r="D56" s="74" t="s">
        <v>216</v>
      </c>
      <c r="E56" s="163">
        <f t="shared" si="1"/>
        <v>3123900</v>
      </c>
      <c r="F56" s="81">
        <f>'luong 8-2024'!AH49</f>
        <v>3123900</v>
      </c>
      <c r="G56" s="81" t="e">
        <f>'luong 8-2024'!AI49+#REF!</f>
        <v>#REF!</v>
      </c>
      <c r="H56" s="74"/>
      <c r="I56" s="81"/>
      <c r="J56" s="81"/>
      <c r="K56" s="81"/>
      <c r="L56" s="81"/>
      <c r="M56" s="81"/>
      <c r="N56" s="81"/>
      <c r="O56" s="81"/>
      <c r="P56" s="167" t="s">
        <v>359</v>
      </c>
      <c r="Q56" s="167" t="e">
        <f>'luong 8-2024'!#REF!</f>
        <v>#REF!</v>
      </c>
    </row>
    <row r="57" spans="1:17" ht="19.5" customHeight="1" x14ac:dyDescent="0.3">
      <c r="A57" s="73" t="s">
        <v>164</v>
      </c>
      <c r="B57" s="168" t="s">
        <v>173</v>
      </c>
      <c r="C57" s="170" t="s">
        <v>234</v>
      </c>
      <c r="D57" s="74" t="s">
        <v>216</v>
      </c>
      <c r="E57" s="163">
        <f t="shared" si="1"/>
        <v>9069138</v>
      </c>
      <c r="F57" s="81">
        <f>'luong 8-2024'!AH50</f>
        <v>9069138</v>
      </c>
      <c r="G57" s="81"/>
      <c r="H57" s="74"/>
      <c r="I57" s="81"/>
      <c r="J57" s="81"/>
      <c r="K57" s="81"/>
      <c r="L57" s="81"/>
      <c r="M57" s="81"/>
      <c r="N57" s="81"/>
      <c r="O57" s="81"/>
      <c r="P57" s="167">
        <v>0</v>
      </c>
      <c r="Q57" s="167" t="e">
        <f>'luong 8-2024'!AH50+'luong 8-2024'!#REF!-#REF!</f>
        <v>#REF!</v>
      </c>
    </row>
    <row r="58" spans="1:17" ht="19.5" customHeight="1" x14ac:dyDescent="0.3">
      <c r="A58" s="73" t="s">
        <v>165</v>
      </c>
      <c r="B58" s="168" t="s">
        <v>114</v>
      </c>
      <c r="C58" s="169">
        <v>5606215000852</v>
      </c>
      <c r="D58" s="74" t="s">
        <v>216</v>
      </c>
      <c r="E58" s="163">
        <f t="shared" si="1"/>
        <v>9394983</v>
      </c>
      <c r="F58" s="81">
        <f>'luong 8-2024'!AH51</f>
        <v>9394983</v>
      </c>
      <c r="G58" s="81"/>
      <c r="H58" s="74"/>
      <c r="I58" s="81"/>
      <c r="J58" s="81"/>
      <c r="K58" s="81"/>
      <c r="L58" s="81"/>
      <c r="M58" s="81"/>
      <c r="N58" s="81"/>
      <c r="O58" s="81"/>
      <c r="P58" s="167">
        <v>0</v>
      </c>
      <c r="Q58" s="167" t="e">
        <f>'luong 8-2024'!AH51+'luong 8-2024'!#REF!-#REF!</f>
        <v>#REF!</v>
      </c>
    </row>
    <row r="59" spans="1:17" ht="19.5" customHeight="1" x14ac:dyDescent="0.3">
      <c r="A59" s="73" t="s">
        <v>166</v>
      </c>
      <c r="B59" s="74" t="s">
        <v>207</v>
      </c>
      <c r="C59" s="170" t="s">
        <v>209</v>
      </c>
      <c r="D59" s="74" t="s">
        <v>216</v>
      </c>
      <c r="E59" s="163">
        <f t="shared" si="1"/>
        <v>11339874</v>
      </c>
      <c r="F59" s="81">
        <f>'luong 8-2024'!AH52</f>
        <v>11339874</v>
      </c>
      <c r="G59" s="81"/>
      <c r="H59" s="74"/>
      <c r="I59" s="81"/>
      <c r="J59" s="81"/>
      <c r="K59" s="81"/>
      <c r="L59" s="81"/>
      <c r="M59" s="81"/>
      <c r="N59" s="81"/>
      <c r="O59" s="81"/>
      <c r="P59" s="167" t="s">
        <v>360</v>
      </c>
      <c r="Q59" s="167" t="e">
        <f>'luong 8-2024'!AH52+'luong 8-2024'!#REF!-#REF!</f>
        <v>#REF!</v>
      </c>
    </row>
    <row r="60" spans="1:17" ht="19.5" customHeight="1" x14ac:dyDescent="0.3">
      <c r="A60" s="73" t="s">
        <v>167</v>
      </c>
      <c r="B60" s="74" t="s">
        <v>263</v>
      </c>
      <c r="C60" s="171" t="s">
        <v>269</v>
      </c>
      <c r="D60" s="74" t="s">
        <v>216</v>
      </c>
      <c r="E60" s="163">
        <f t="shared" si="1"/>
        <v>17443146</v>
      </c>
      <c r="F60" s="81">
        <f>'luong 8-2024'!AH53</f>
        <v>17443146</v>
      </c>
      <c r="G60" s="123"/>
      <c r="H60" s="115"/>
      <c r="I60" s="123"/>
      <c r="J60" s="123"/>
      <c r="K60" s="81"/>
      <c r="L60" s="81"/>
      <c r="M60" s="81"/>
      <c r="N60" s="123"/>
      <c r="O60" s="81"/>
      <c r="P60" s="167" t="s">
        <v>361</v>
      </c>
      <c r="Q60" s="167" t="e">
        <f>'luong 8-2024'!AH53+'luong 8-2024'!#REF!-#REF!</f>
        <v>#REF!</v>
      </c>
    </row>
    <row r="61" spans="1:17" ht="19.5" customHeight="1" x14ac:dyDescent="0.3">
      <c r="A61" s="73" t="s">
        <v>168</v>
      </c>
      <c r="B61" s="74" t="s">
        <v>265</v>
      </c>
      <c r="C61" s="171" t="s">
        <v>268</v>
      </c>
      <c r="D61" s="74" t="s">
        <v>216</v>
      </c>
      <c r="E61" s="163">
        <f t="shared" si="1"/>
        <v>18799242</v>
      </c>
      <c r="F61" s="81">
        <f>'luong 8-2024'!AH54</f>
        <v>18799242</v>
      </c>
      <c r="G61" s="123"/>
      <c r="H61" s="115"/>
      <c r="I61" s="123"/>
      <c r="J61" s="123"/>
      <c r="K61" s="81"/>
      <c r="L61" s="81"/>
      <c r="M61" s="81"/>
      <c r="N61" s="123"/>
      <c r="O61" s="81"/>
      <c r="P61" s="167" t="s">
        <v>362</v>
      </c>
      <c r="Q61" s="167" t="e">
        <f>'luong 8-2024'!AH54+'luong 8-2024'!#REF!-#REF!</f>
        <v>#REF!</v>
      </c>
    </row>
    <row r="62" spans="1:17" ht="19.5" customHeight="1" x14ac:dyDescent="0.3">
      <c r="A62" s="73" t="s">
        <v>169</v>
      </c>
      <c r="B62" s="74" t="s">
        <v>264</v>
      </c>
      <c r="C62" s="171" t="s">
        <v>267</v>
      </c>
      <c r="D62" s="74" t="s">
        <v>216</v>
      </c>
      <c r="E62" s="163">
        <f t="shared" si="1"/>
        <v>15782246</v>
      </c>
      <c r="F62" s="81">
        <f>'luong 8-2024'!AH55</f>
        <v>15782246</v>
      </c>
      <c r="G62" s="123"/>
      <c r="H62" s="115"/>
      <c r="I62" s="123"/>
      <c r="J62" s="123"/>
      <c r="K62" s="81"/>
      <c r="L62" s="81"/>
      <c r="M62" s="81"/>
      <c r="N62" s="123"/>
      <c r="O62" s="81"/>
      <c r="P62" s="167" t="s">
        <v>363</v>
      </c>
      <c r="Q62" s="167" t="e">
        <f>'luong 8-2024'!AH55+'luong 8-2024'!#REF!-#REF!</f>
        <v>#REF!</v>
      </c>
    </row>
    <row r="63" spans="1:17" ht="19.5" customHeight="1" x14ac:dyDescent="0.3">
      <c r="A63" s="73" t="s">
        <v>170</v>
      </c>
      <c r="B63" s="107" t="s">
        <v>215</v>
      </c>
      <c r="C63" s="172" t="s">
        <v>211</v>
      </c>
      <c r="D63" s="74" t="s">
        <v>216</v>
      </c>
      <c r="E63" s="163">
        <f t="shared" si="1"/>
        <v>8808462</v>
      </c>
      <c r="F63" s="81">
        <f>'luong 8-2024'!AH56</f>
        <v>8808462</v>
      </c>
      <c r="G63" s="173"/>
      <c r="H63" s="174"/>
      <c r="I63" s="173"/>
      <c r="J63" s="173"/>
      <c r="K63" s="81"/>
      <c r="L63" s="81"/>
      <c r="M63" s="81"/>
      <c r="N63" s="173"/>
      <c r="O63" s="81"/>
      <c r="P63" s="167" t="s">
        <v>364</v>
      </c>
      <c r="Q63" s="167" t="e">
        <f>'luong 8-2024'!AH56+'luong 8-2024'!#REF!-#REF!</f>
        <v>#REF!</v>
      </c>
    </row>
    <row r="64" spans="1:17" ht="19.5" customHeight="1" x14ac:dyDescent="0.3">
      <c r="A64" s="73" t="s">
        <v>171</v>
      </c>
      <c r="B64" s="107" t="s">
        <v>208</v>
      </c>
      <c r="C64" s="172" t="s">
        <v>210</v>
      </c>
      <c r="D64" s="74" t="s">
        <v>216</v>
      </c>
      <c r="E64" s="163">
        <f t="shared" ref="E64" si="2">F64+H64</f>
        <v>8025030</v>
      </c>
      <c r="F64" s="81">
        <f>'luong 8-2024'!AH57</f>
        <v>8025030</v>
      </c>
      <c r="G64" s="173"/>
      <c r="H64" s="174"/>
      <c r="I64" s="173"/>
      <c r="J64" s="173"/>
      <c r="K64" s="81"/>
      <c r="L64" s="81"/>
      <c r="M64" s="81"/>
      <c r="N64" s="173"/>
      <c r="O64" s="173"/>
      <c r="P64" s="167"/>
      <c r="Q64" s="167"/>
    </row>
    <row r="65" spans="1:17" ht="39" customHeight="1" x14ac:dyDescent="0.3">
      <c r="A65" s="175" t="s">
        <v>86</v>
      </c>
      <c r="B65" s="318" t="s">
        <v>280</v>
      </c>
      <c r="C65" s="319"/>
      <c r="D65" s="320"/>
      <c r="E65" s="176">
        <f>SUM(E66:E69)</f>
        <v>22230234</v>
      </c>
      <c r="F65" s="176">
        <f t="shared" ref="F65:H65" si="3">SUM(F66:F69)</f>
        <v>0</v>
      </c>
      <c r="G65" s="176">
        <f t="shared" si="3"/>
        <v>0</v>
      </c>
      <c r="H65" s="176">
        <f t="shared" si="3"/>
        <v>22230234</v>
      </c>
      <c r="I65" s="123"/>
      <c r="J65" s="123"/>
      <c r="K65" s="123"/>
      <c r="L65" s="123"/>
      <c r="M65" s="123"/>
      <c r="N65" s="123"/>
      <c r="O65" s="123"/>
      <c r="P65" s="167"/>
      <c r="Q65" s="167"/>
    </row>
    <row r="66" spans="1:17" ht="19.5" customHeight="1" x14ac:dyDescent="0.3">
      <c r="A66" s="73" t="s">
        <v>137</v>
      </c>
      <c r="B66" s="115" t="s">
        <v>6</v>
      </c>
      <c r="C66" s="177">
        <v>5606205339784</v>
      </c>
      <c r="D66" s="115" t="s">
        <v>216</v>
      </c>
      <c r="E66" s="178">
        <f>H66</f>
        <v>6573294</v>
      </c>
      <c r="F66" s="123"/>
      <c r="G66" s="123"/>
      <c r="H66" s="123">
        <f>'luong 8-2024'!AH59</f>
        <v>6573294</v>
      </c>
      <c r="I66" s="123"/>
      <c r="J66" s="123"/>
      <c r="K66" s="123"/>
      <c r="L66" s="123"/>
      <c r="M66" s="123"/>
      <c r="N66" s="123"/>
      <c r="O66" s="123"/>
      <c r="P66" s="167"/>
      <c r="Q66" s="167"/>
    </row>
    <row r="67" spans="1:17" ht="19.5" customHeight="1" x14ac:dyDescent="0.3">
      <c r="A67" s="73" t="s">
        <v>138</v>
      </c>
      <c r="B67" s="115" t="s">
        <v>172</v>
      </c>
      <c r="C67" s="179" t="s">
        <v>235</v>
      </c>
      <c r="D67" s="115" t="s">
        <v>216</v>
      </c>
      <c r="E67" s="178">
        <f t="shared" ref="E67:E68" si="4">H67</f>
        <v>5442372</v>
      </c>
      <c r="F67" s="123"/>
      <c r="G67" s="123"/>
      <c r="H67" s="123">
        <f>'luong 8-2024'!AH60</f>
        <v>5442372</v>
      </c>
      <c r="I67" s="123"/>
      <c r="J67" s="123"/>
      <c r="K67" s="123"/>
      <c r="L67" s="123"/>
      <c r="M67" s="123"/>
      <c r="N67" s="123"/>
      <c r="O67" s="123"/>
      <c r="P67" s="167"/>
      <c r="Q67" s="167"/>
    </row>
    <row r="68" spans="1:17" ht="27" customHeight="1" x14ac:dyDescent="0.3">
      <c r="A68" s="73" t="s">
        <v>139</v>
      </c>
      <c r="B68" s="115" t="s">
        <v>212</v>
      </c>
      <c r="C68" s="180" t="s">
        <v>274</v>
      </c>
      <c r="D68" s="115" t="s">
        <v>216</v>
      </c>
      <c r="E68" s="178">
        <f t="shared" si="4"/>
        <v>5065398</v>
      </c>
      <c r="F68" s="123"/>
      <c r="G68" s="123"/>
      <c r="H68" s="123">
        <f>'luong 8-2024'!AH61</f>
        <v>5065398</v>
      </c>
      <c r="I68" s="123"/>
      <c r="J68" s="123"/>
      <c r="K68" s="123"/>
      <c r="L68" s="123"/>
      <c r="M68" s="123"/>
      <c r="N68" s="123"/>
      <c r="O68" s="123"/>
      <c r="P68" s="265"/>
      <c r="Q68" s="167"/>
    </row>
    <row r="69" spans="1:17" ht="27" customHeight="1" x14ac:dyDescent="0.3">
      <c r="A69" s="73" t="s">
        <v>140</v>
      </c>
      <c r="B69" s="115" t="s">
        <v>213</v>
      </c>
      <c r="C69" s="180" t="s">
        <v>275</v>
      </c>
      <c r="D69" s="115" t="s">
        <v>216</v>
      </c>
      <c r="E69" s="178">
        <f t="shared" ref="E69" si="5">H69</f>
        <v>5149170</v>
      </c>
      <c r="F69" s="176"/>
      <c r="G69" s="176"/>
      <c r="H69" s="123">
        <f>'luong 8-2024'!AH62</f>
        <v>5149170</v>
      </c>
      <c r="I69" s="176"/>
      <c r="J69" s="176"/>
      <c r="K69" s="176"/>
      <c r="L69" s="176"/>
      <c r="M69" s="176"/>
      <c r="N69" s="176"/>
      <c r="O69" s="176"/>
      <c r="P69" s="265"/>
      <c r="Q69" s="167"/>
    </row>
    <row r="70" spans="1:17" ht="45.75" customHeight="1" x14ac:dyDescent="0.3">
      <c r="A70" s="225" t="s">
        <v>284</v>
      </c>
      <c r="B70" s="332" t="s">
        <v>286</v>
      </c>
      <c r="C70" s="333"/>
      <c r="D70" s="334"/>
      <c r="E70" s="181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67"/>
      <c r="Q70" s="164"/>
    </row>
    <row r="71" spans="1:17" ht="18.75" customHeight="1" x14ac:dyDescent="0.3">
      <c r="A71" s="132"/>
      <c r="B71" s="314" t="s">
        <v>376</v>
      </c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</row>
    <row r="72" spans="1:17" x14ac:dyDescent="0.3">
      <c r="A72" s="132"/>
      <c r="B72" s="311" t="s">
        <v>87</v>
      </c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217"/>
    </row>
    <row r="73" spans="1:17" x14ac:dyDescent="0.3">
      <c r="A73" s="210" t="s">
        <v>333</v>
      </c>
      <c r="B73" s="217"/>
      <c r="C73" s="217"/>
      <c r="D73" s="217"/>
      <c r="E73" s="217"/>
      <c r="F73" s="183"/>
      <c r="G73" s="217"/>
      <c r="H73" s="217"/>
      <c r="I73" s="217"/>
      <c r="J73" s="217"/>
      <c r="K73" s="183"/>
      <c r="L73" s="217"/>
      <c r="M73" s="217"/>
      <c r="N73" s="217"/>
      <c r="O73" s="217"/>
      <c r="P73" s="184"/>
      <c r="Q73" s="184"/>
    </row>
    <row r="74" spans="1:17" ht="16.5" customHeight="1" x14ac:dyDescent="0.3">
      <c r="A74" s="210" t="s">
        <v>373</v>
      </c>
      <c r="B74" s="217"/>
      <c r="C74" s="217"/>
      <c r="D74" s="217"/>
      <c r="E74" s="217"/>
      <c r="F74" s="183"/>
      <c r="G74" s="217"/>
      <c r="H74" s="183"/>
      <c r="I74" s="217"/>
      <c r="J74" s="217"/>
      <c r="K74" s="183"/>
      <c r="L74" s="217"/>
      <c r="M74" s="217"/>
      <c r="N74" s="183"/>
      <c r="O74" s="217"/>
      <c r="P74" s="184"/>
      <c r="Q74" s="184"/>
    </row>
    <row r="75" spans="1:17" ht="15.75" customHeight="1" x14ac:dyDescent="0.3">
      <c r="A75" s="217" t="s">
        <v>290</v>
      </c>
      <c r="B75" s="217"/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24"/>
      <c r="Q75" s="184"/>
    </row>
    <row r="76" spans="1:17" ht="15.75" customHeight="1" x14ac:dyDescent="0.3">
      <c r="A76" s="217"/>
      <c r="B76" s="210" t="s">
        <v>332</v>
      </c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184"/>
      <c r="Q76" s="184"/>
    </row>
    <row r="77" spans="1:17" ht="15.75" customHeight="1" x14ac:dyDescent="0.3">
      <c r="A77" s="262"/>
      <c r="B77" s="210" t="s">
        <v>371</v>
      </c>
      <c r="C77" s="26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183"/>
      <c r="O77" s="262"/>
      <c r="P77" s="184"/>
      <c r="Q77" s="184"/>
    </row>
    <row r="78" spans="1:17" ht="15.75" customHeight="1" x14ac:dyDescent="0.3">
      <c r="A78" s="217"/>
      <c r="B78" s="210" t="s">
        <v>372</v>
      </c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183"/>
      <c r="O78" s="217"/>
      <c r="P78" s="224"/>
      <c r="Q78" s="184"/>
    </row>
    <row r="79" spans="1:17" ht="21" customHeight="1" x14ac:dyDescent="0.3">
      <c r="A79" s="185"/>
      <c r="B79" s="210"/>
      <c r="D79" s="86"/>
      <c r="E79" s="96"/>
      <c r="F79" s="187"/>
      <c r="G79" s="188"/>
      <c r="H79" s="96"/>
      <c r="I79" s="296" t="s">
        <v>369</v>
      </c>
      <c r="J79" s="296"/>
      <c r="K79" s="296"/>
      <c r="L79" s="296"/>
      <c r="M79" s="296"/>
      <c r="N79" s="296"/>
      <c r="O79" s="296"/>
      <c r="P79" s="296"/>
      <c r="Q79" s="214"/>
    </row>
    <row r="80" spans="1:17" x14ac:dyDescent="0.3">
      <c r="A80" s="132"/>
      <c r="B80" s="297" t="s">
        <v>64</v>
      </c>
      <c r="C80" s="297"/>
      <c r="D80" s="189"/>
      <c r="E80" s="297" t="s">
        <v>23</v>
      </c>
      <c r="F80" s="297"/>
      <c r="G80" s="297"/>
      <c r="H80" s="213"/>
      <c r="I80" s="297" t="s">
        <v>65</v>
      </c>
      <c r="J80" s="297"/>
      <c r="K80" s="297"/>
      <c r="L80" s="297"/>
      <c r="M80" s="297"/>
      <c r="N80" s="297"/>
      <c r="O80" s="297"/>
      <c r="P80" s="297"/>
      <c r="Q80" s="213"/>
    </row>
    <row r="81" spans="1:17" x14ac:dyDescent="0.3">
      <c r="A81" s="132"/>
      <c r="B81" s="310" t="s">
        <v>254</v>
      </c>
      <c r="C81" s="310"/>
      <c r="D81" s="190"/>
      <c r="E81" s="317" t="s">
        <v>254</v>
      </c>
      <c r="F81" s="317"/>
      <c r="G81" s="317"/>
      <c r="H81" s="191"/>
      <c r="I81" s="310" t="s">
        <v>255</v>
      </c>
      <c r="J81" s="310"/>
      <c r="K81" s="310"/>
      <c r="L81" s="310"/>
      <c r="M81" s="310"/>
      <c r="N81" s="310"/>
      <c r="O81" s="310"/>
      <c r="P81" s="310"/>
      <c r="Q81" s="216"/>
    </row>
    <row r="82" spans="1:17" x14ac:dyDescent="0.3">
      <c r="A82" s="132"/>
      <c r="B82" s="96"/>
      <c r="D82" s="96"/>
      <c r="E82" s="96"/>
      <c r="F82" s="187"/>
      <c r="G82" s="96"/>
      <c r="H82" s="96"/>
      <c r="I82" s="86"/>
      <c r="J82" s="49"/>
      <c r="N82" s="91"/>
      <c r="O82" s="91"/>
    </row>
    <row r="83" spans="1:17" ht="18.75" customHeight="1" x14ac:dyDescent="0.3">
      <c r="A83" s="132"/>
      <c r="B83" s="96"/>
      <c r="D83" s="96"/>
      <c r="E83" s="96"/>
      <c r="F83" s="187"/>
      <c r="G83" s="96"/>
      <c r="H83" s="96"/>
      <c r="I83" s="86"/>
      <c r="J83" s="49"/>
      <c r="N83" s="91"/>
      <c r="O83" s="91"/>
    </row>
    <row r="84" spans="1:17" ht="11.25" customHeight="1" x14ac:dyDescent="0.3">
      <c r="G84" s="192"/>
      <c r="I84" s="86"/>
      <c r="J84" s="49"/>
      <c r="N84" s="91"/>
      <c r="O84" s="91"/>
    </row>
    <row r="85" spans="1:17" s="208" customFormat="1" x14ac:dyDescent="0.3">
      <c r="A85" s="264"/>
      <c r="B85" s="309" t="s">
        <v>174</v>
      </c>
      <c r="C85" s="309"/>
      <c r="E85" s="309" t="s">
        <v>174</v>
      </c>
      <c r="F85" s="309"/>
      <c r="G85" s="309"/>
      <c r="I85" s="316" t="s">
        <v>321</v>
      </c>
      <c r="J85" s="316"/>
      <c r="K85" s="316"/>
      <c r="L85" s="316"/>
      <c r="M85" s="316"/>
      <c r="N85" s="316"/>
      <c r="O85" s="316"/>
      <c r="P85" s="316"/>
      <c r="Q85" s="264"/>
    </row>
    <row r="86" spans="1:17" x14ac:dyDescent="0.3">
      <c r="B86" s="215"/>
      <c r="C86" s="215"/>
      <c r="E86" s="215"/>
      <c r="F86" s="215"/>
      <c r="G86" s="215"/>
      <c r="I86" s="218"/>
      <c r="J86" s="218"/>
      <c r="K86" s="218"/>
      <c r="L86" s="218"/>
      <c r="M86" s="218"/>
      <c r="N86" s="218"/>
      <c r="O86" s="218"/>
    </row>
    <row r="87" spans="1:17" ht="24.75" customHeight="1" x14ac:dyDescent="0.3">
      <c r="A87" s="132"/>
      <c r="B87" s="113"/>
      <c r="C87" s="150"/>
      <c r="D87" s="295" t="s">
        <v>256</v>
      </c>
      <c r="E87" s="295"/>
      <c r="F87" s="295"/>
      <c r="G87" s="295"/>
      <c r="H87" s="295"/>
      <c r="I87" s="295"/>
      <c r="J87" s="295"/>
      <c r="K87" s="295"/>
      <c r="L87" s="295"/>
      <c r="M87" s="113"/>
      <c r="N87" s="193"/>
      <c r="O87" s="193"/>
      <c r="P87" s="193"/>
      <c r="Q87" s="193"/>
    </row>
    <row r="88" spans="1:17" x14ac:dyDescent="0.3">
      <c r="A88" s="132"/>
      <c r="B88" s="113"/>
      <c r="C88" s="150"/>
      <c r="D88" s="220"/>
      <c r="E88" s="113"/>
      <c r="F88" s="296" t="s">
        <v>289</v>
      </c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14"/>
    </row>
    <row r="89" spans="1:17" s="113" customFormat="1" ht="20.25" customHeight="1" x14ac:dyDescent="0.3">
      <c r="A89" s="137"/>
      <c r="B89" s="194" t="s">
        <v>124</v>
      </c>
      <c r="C89" s="184"/>
      <c r="D89" s="294" t="s">
        <v>257</v>
      </c>
      <c r="E89" s="294"/>
      <c r="F89" s="294"/>
      <c r="G89" s="293" t="s">
        <v>261</v>
      </c>
      <c r="H89" s="293"/>
      <c r="I89" s="293"/>
      <c r="J89" s="293"/>
      <c r="K89" s="293"/>
      <c r="L89" s="293"/>
      <c r="M89" s="293"/>
      <c r="N89" s="293"/>
      <c r="O89" s="293"/>
      <c r="P89" s="293"/>
      <c r="Q89" s="219"/>
    </row>
    <row r="90" spans="1:17" x14ac:dyDescent="0.3">
      <c r="B90" s="148"/>
      <c r="C90" s="195"/>
      <c r="D90" s="148"/>
      <c r="E90" s="148"/>
      <c r="I90" s="86"/>
      <c r="J90" s="49"/>
      <c r="N90" s="91"/>
      <c r="O90" s="91"/>
    </row>
    <row r="91" spans="1:17" x14ac:dyDescent="0.3">
      <c r="I91" s="86"/>
      <c r="J91" s="49"/>
      <c r="N91" s="91"/>
      <c r="O91" s="91"/>
    </row>
    <row r="140" spans="1:17" ht="15.75" customHeight="1" x14ac:dyDescent="0.3">
      <c r="A140" s="185"/>
      <c r="B140" s="186" t="s">
        <v>288</v>
      </c>
      <c r="D140" s="86"/>
      <c r="E140" s="96"/>
      <c r="F140" s="187"/>
      <c r="G140" s="188"/>
      <c r="H140" s="96"/>
      <c r="I140" s="196"/>
      <c r="J140" s="196"/>
      <c r="K140" s="196"/>
      <c r="L140" s="196"/>
      <c r="M140" s="196"/>
      <c r="N140" s="196"/>
      <c r="O140" s="196"/>
      <c r="P140" s="195"/>
      <c r="Q140" s="196"/>
    </row>
  </sheetData>
  <mergeCells count="41">
    <mergeCell ref="A8:P8"/>
    <mergeCell ref="J11:J12"/>
    <mergeCell ref="B15:D15"/>
    <mergeCell ref="B80:C80"/>
    <mergeCell ref="I80:P80"/>
    <mergeCell ref="K11:M12"/>
    <mergeCell ref="B70:D70"/>
    <mergeCell ref="I79:P79"/>
    <mergeCell ref="C13:D13"/>
    <mergeCell ref="B85:C85"/>
    <mergeCell ref="B81:C81"/>
    <mergeCell ref="B72:P72"/>
    <mergeCell ref="N11:N12"/>
    <mergeCell ref="K13:M13"/>
    <mergeCell ref="B71:Q71"/>
    <mergeCell ref="P10:P12"/>
    <mergeCell ref="C11:C12"/>
    <mergeCell ref="F11:F12"/>
    <mergeCell ref="I81:P81"/>
    <mergeCell ref="I85:P85"/>
    <mergeCell ref="E80:G80"/>
    <mergeCell ref="E81:G81"/>
    <mergeCell ref="E85:G85"/>
    <mergeCell ref="B65:D65"/>
    <mergeCell ref="O11:O12"/>
    <mergeCell ref="G89:P89"/>
    <mergeCell ref="D89:F89"/>
    <mergeCell ref="D87:L87"/>
    <mergeCell ref="F88:P88"/>
    <mergeCell ref="B2:L2"/>
    <mergeCell ref="A5:P5"/>
    <mergeCell ref="A6:P6"/>
    <mergeCell ref="C3:H3"/>
    <mergeCell ref="A10:A12"/>
    <mergeCell ref="H11:H12"/>
    <mergeCell ref="D11:D12"/>
    <mergeCell ref="I11:I12"/>
    <mergeCell ref="F10:O10"/>
    <mergeCell ref="C10:D10"/>
    <mergeCell ref="B10:B12"/>
    <mergeCell ref="E10:E12"/>
  </mergeCells>
  <phoneticPr fontId="18" type="noConversion"/>
  <printOptions horizontalCentered="1"/>
  <pageMargins left="0.24" right="0" top="0.2" bottom="0.2" header="0.2" footer="0.2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topLeftCell="AD7" zoomScale="92" zoomScaleNormal="92" workbookViewId="0">
      <selection activeCell="AN16" sqref="AN16:AN17"/>
    </sheetView>
  </sheetViews>
  <sheetFormatPr defaultColWidth="8.109375" defaultRowHeight="18.75" x14ac:dyDescent="0.3"/>
  <cols>
    <col min="1" max="1" width="2.88671875" style="263" customWidth="1"/>
    <col min="2" max="2" width="17.33203125" style="49" customWidth="1"/>
    <col min="3" max="3" width="6.88671875" style="52" customWidth="1"/>
    <col min="4" max="4" width="5.5546875" style="53" customWidth="1"/>
    <col min="5" max="5" width="7.21875" style="53" customWidth="1"/>
    <col min="6" max="6" width="6.33203125" style="49" customWidth="1"/>
    <col min="7" max="7" width="4.44140625" style="49" customWidth="1"/>
    <col min="8" max="8" width="3.77734375" style="49" customWidth="1"/>
    <col min="9" max="9" width="5.5546875" style="49" customWidth="1"/>
    <col min="10" max="10" width="4.109375" style="263" customWidth="1"/>
    <col min="11" max="11" width="7.6640625" style="49" customWidth="1"/>
    <col min="12" max="12" width="6.44140625" style="263" customWidth="1"/>
    <col min="13" max="13" width="9.33203125" style="49" customWidth="1"/>
    <col min="14" max="14" width="3.88671875" style="49" customWidth="1"/>
    <col min="15" max="15" width="6.33203125" style="49" customWidth="1"/>
    <col min="16" max="16" width="7.88671875" style="49" customWidth="1"/>
    <col min="17" max="17" width="4.6640625" style="50" customWidth="1"/>
    <col min="18" max="18" width="7.88671875" style="49" customWidth="1"/>
    <col min="19" max="19" width="4" style="49" customWidth="1"/>
    <col min="20" max="20" width="7.44140625" style="49" customWidth="1"/>
    <col min="21" max="21" width="4.109375" style="49" customWidth="1"/>
    <col min="22" max="22" width="5.6640625" style="50" customWidth="1"/>
    <col min="23" max="23" width="6.33203125" style="50" customWidth="1"/>
    <col min="24" max="24" width="7.5546875" style="49" customWidth="1"/>
    <col min="25" max="25" width="7.33203125" style="49" customWidth="1"/>
    <col min="26" max="26" width="6.44140625" style="49" customWidth="1"/>
    <col min="27" max="27" width="9.77734375" style="49" customWidth="1"/>
    <col min="28" max="28" width="6.5546875" style="49" customWidth="1"/>
    <col min="29" max="29" width="10.33203125" style="49" customWidth="1"/>
    <col min="30" max="30" width="7.77734375" style="49" customWidth="1"/>
    <col min="31" max="31" width="8.88671875" style="49" customWidth="1"/>
    <col min="32" max="32" width="4.88671875" style="49" customWidth="1"/>
    <col min="33" max="33" width="4.21875" style="49" customWidth="1"/>
    <col min="34" max="34" width="9.88671875" style="49" customWidth="1"/>
    <col min="35" max="35" width="10.88671875" style="49" customWidth="1"/>
    <col min="36" max="16384" width="8.109375" style="49"/>
  </cols>
  <sheetData>
    <row r="1" spans="1:35" s="51" customFormat="1" x14ac:dyDescent="0.3">
      <c r="A1" s="298" t="s">
        <v>28</v>
      </c>
      <c r="B1" s="298"/>
      <c r="C1" s="298"/>
      <c r="D1" s="298"/>
      <c r="E1" s="298"/>
      <c r="F1" s="298"/>
      <c r="G1" s="298"/>
      <c r="H1" s="298"/>
      <c r="I1" s="298"/>
      <c r="J1" s="263"/>
      <c r="K1" s="49"/>
      <c r="L1" s="263"/>
      <c r="M1" s="49"/>
      <c r="N1" s="49"/>
      <c r="O1" s="49"/>
      <c r="P1" s="49"/>
      <c r="Q1" s="50"/>
      <c r="R1" s="49"/>
      <c r="S1" s="49"/>
      <c r="T1" s="49"/>
      <c r="U1" s="49"/>
      <c r="V1" s="50"/>
      <c r="W1" s="50"/>
      <c r="X1" s="49"/>
      <c r="Y1" s="49"/>
      <c r="Z1" s="49"/>
      <c r="AA1" s="49"/>
      <c r="AB1" s="49"/>
      <c r="AC1" s="49"/>
      <c r="AD1" s="49"/>
      <c r="AE1" s="49"/>
      <c r="AF1" s="297" t="s">
        <v>29</v>
      </c>
      <c r="AG1" s="297"/>
      <c r="AH1" s="297"/>
      <c r="AI1" s="49"/>
    </row>
    <row r="2" spans="1:35" s="51" customFormat="1" x14ac:dyDescent="0.3">
      <c r="A2" s="356" t="s">
        <v>30</v>
      </c>
      <c r="B2" s="356"/>
      <c r="C2" s="356"/>
      <c r="D2" s="356"/>
      <c r="E2" s="356"/>
      <c r="F2" s="356"/>
      <c r="G2" s="356"/>
      <c r="H2" s="356"/>
      <c r="I2" s="356"/>
      <c r="J2" s="263"/>
      <c r="K2" s="49"/>
      <c r="L2" s="263"/>
      <c r="M2" s="49"/>
      <c r="N2" s="49"/>
      <c r="O2" s="49"/>
      <c r="P2" s="49"/>
      <c r="Q2" s="50"/>
      <c r="R2" s="49"/>
      <c r="S2" s="49"/>
      <c r="T2" s="49"/>
      <c r="U2" s="49"/>
      <c r="V2" s="50"/>
      <c r="W2" s="50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3" spans="1:35" s="51" customFormat="1" x14ac:dyDescent="0.3">
      <c r="A3" s="263"/>
      <c r="B3" s="49"/>
      <c r="C3" s="52"/>
      <c r="D3" s="53"/>
      <c r="E3" s="53"/>
      <c r="F3" s="54"/>
      <c r="G3" s="54"/>
      <c r="H3" s="49"/>
      <c r="I3" s="49"/>
      <c r="J3" s="263"/>
      <c r="K3" s="49"/>
      <c r="L3" s="263"/>
      <c r="M3" s="49"/>
      <c r="N3" s="49"/>
      <c r="O3" s="49"/>
      <c r="P3" s="49"/>
      <c r="Q3" s="50"/>
      <c r="R3" s="49"/>
      <c r="S3" s="49"/>
      <c r="T3" s="49"/>
      <c r="U3" s="49"/>
      <c r="V3" s="50"/>
      <c r="W3" s="50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35" s="51" customFormat="1" ht="37.15" customHeight="1" x14ac:dyDescent="0.3">
      <c r="A4" s="357" t="s">
        <v>327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7"/>
      <c r="AG4" s="357"/>
      <c r="AH4" s="357"/>
      <c r="AI4" s="357"/>
    </row>
    <row r="5" spans="1:35" s="51" customFormat="1" ht="24.75" customHeight="1" x14ac:dyDescent="0.2">
      <c r="A5" s="358" t="s">
        <v>0</v>
      </c>
      <c r="B5" s="348" t="s">
        <v>31</v>
      </c>
      <c r="C5" s="348" t="s">
        <v>32</v>
      </c>
      <c r="D5" s="350" t="s">
        <v>177</v>
      </c>
      <c r="E5" s="350" t="s">
        <v>176</v>
      </c>
      <c r="F5" s="359" t="s">
        <v>33</v>
      </c>
      <c r="G5" s="361" t="s">
        <v>34</v>
      </c>
      <c r="H5" s="304" t="s">
        <v>35</v>
      </c>
      <c r="I5" s="304"/>
      <c r="J5" s="304" t="s">
        <v>35</v>
      </c>
      <c r="K5" s="304"/>
      <c r="L5" s="305" t="s">
        <v>36</v>
      </c>
      <c r="M5" s="305" t="s">
        <v>37</v>
      </c>
      <c r="N5" s="338" t="s">
        <v>38</v>
      </c>
      <c r="O5" s="339"/>
      <c r="P5" s="340"/>
      <c r="Q5" s="348" t="s">
        <v>39</v>
      </c>
      <c r="R5" s="304" t="s">
        <v>73</v>
      </c>
      <c r="S5" s="304" t="s">
        <v>74</v>
      </c>
      <c r="T5" s="304"/>
      <c r="U5" s="304" t="s">
        <v>75</v>
      </c>
      <c r="V5" s="304"/>
      <c r="W5" s="305" t="s">
        <v>202</v>
      </c>
      <c r="X5" s="342" t="s">
        <v>40</v>
      </c>
      <c r="Y5" s="342"/>
      <c r="Z5" s="271" t="s">
        <v>68</v>
      </c>
      <c r="AA5" s="342" t="s">
        <v>41</v>
      </c>
      <c r="AB5" s="342"/>
      <c r="AC5" s="342" t="s">
        <v>42</v>
      </c>
      <c r="AD5" s="342"/>
      <c r="AE5" s="55" t="s">
        <v>43</v>
      </c>
      <c r="AF5" s="348" t="s">
        <v>44</v>
      </c>
      <c r="AG5" s="305" t="s">
        <v>45</v>
      </c>
      <c r="AH5" s="348" t="s">
        <v>46</v>
      </c>
      <c r="AI5" s="348" t="s">
        <v>47</v>
      </c>
    </row>
    <row r="6" spans="1:35" s="51" customFormat="1" ht="60" x14ac:dyDescent="0.2">
      <c r="A6" s="349"/>
      <c r="B6" s="349"/>
      <c r="C6" s="349"/>
      <c r="D6" s="351"/>
      <c r="E6" s="351"/>
      <c r="F6" s="360"/>
      <c r="G6" s="362"/>
      <c r="H6" s="275" t="s">
        <v>48</v>
      </c>
      <c r="I6" s="274" t="s">
        <v>49</v>
      </c>
      <c r="J6" s="275" t="s">
        <v>48</v>
      </c>
      <c r="K6" s="274" t="s">
        <v>50</v>
      </c>
      <c r="L6" s="302"/>
      <c r="M6" s="302"/>
      <c r="N6" s="274" t="s">
        <v>48</v>
      </c>
      <c r="O6" s="56" t="s">
        <v>51</v>
      </c>
      <c r="P6" s="57" t="s">
        <v>52</v>
      </c>
      <c r="Q6" s="349"/>
      <c r="R6" s="304"/>
      <c r="S6" s="269" t="s">
        <v>35</v>
      </c>
      <c r="T6" s="269" t="s">
        <v>76</v>
      </c>
      <c r="U6" s="269" t="s">
        <v>35</v>
      </c>
      <c r="V6" s="269" t="s">
        <v>76</v>
      </c>
      <c r="W6" s="303"/>
      <c r="X6" s="273" t="s">
        <v>69</v>
      </c>
      <c r="Y6" s="273" t="s">
        <v>53</v>
      </c>
      <c r="Z6" s="273" t="s">
        <v>70</v>
      </c>
      <c r="AA6" s="273" t="s">
        <v>54</v>
      </c>
      <c r="AB6" s="273" t="s">
        <v>55</v>
      </c>
      <c r="AC6" s="273" t="s">
        <v>56</v>
      </c>
      <c r="AD6" s="273" t="s">
        <v>57</v>
      </c>
      <c r="AE6" s="273" t="s">
        <v>58</v>
      </c>
      <c r="AF6" s="349"/>
      <c r="AG6" s="303"/>
      <c r="AH6" s="349"/>
      <c r="AI6" s="349"/>
    </row>
    <row r="7" spans="1:35" s="51" customFormat="1" ht="12.75" x14ac:dyDescent="0.2">
      <c r="A7" s="58" t="s">
        <v>1</v>
      </c>
      <c r="B7" s="58" t="s">
        <v>2</v>
      </c>
      <c r="C7" s="58" t="s">
        <v>59</v>
      </c>
      <c r="D7" s="59">
        <v>1</v>
      </c>
      <c r="E7" s="59">
        <v>2</v>
      </c>
      <c r="F7" s="59">
        <v>3</v>
      </c>
      <c r="G7" s="59">
        <v>4</v>
      </c>
      <c r="H7" s="352">
        <v>5</v>
      </c>
      <c r="I7" s="353"/>
      <c r="J7" s="352">
        <v>6</v>
      </c>
      <c r="K7" s="353"/>
      <c r="L7" s="58">
        <v>7</v>
      </c>
      <c r="M7" s="58">
        <v>8</v>
      </c>
      <c r="N7" s="352">
        <v>9</v>
      </c>
      <c r="O7" s="353"/>
      <c r="P7" s="60">
        <v>10</v>
      </c>
      <c r="Q7" s="58">
        <v>11</v>
      </c>
      <c r="R7" s="60">
        <v>12</v>
      </c>
      <c r="S7" s="354">
        <v>13</v>
      </c>
      <c r="T7" s="355"/>
      <c r="U7" s="352">
        <v>14</v>
      </c>
      <c r="V7" s="353"/>
      <c r="W7" s="277">
        <v>15</v>
      </c>
      <c r="X7" s="277">
        <v>16</v>
      </c>
      <c r="Y7" s="277">
        <v>17</v>
      </c>
      <c r="Z7" s="277">
        <v>18</v>
      </c>
      <c r="AA7" s="277">
        <v>19</v>
      </c>
      <c r="AB7" s="277">
        <v>20</v>
      </c>
      <c r="AC7" s="277">
        <v>21</v>
      </c>
      <c r="AD7" s="277">
        <v>22</v>
      </c>
      <c r="AE7" s="277">
        <v>23</v>
      </c>
      <c r="AF7" s="277">
        <v>24</v>
      </c>
      <c r="AG7" s="277">
        <v>25</v>
      </c>
      <c r="AH7" s="277">
        <v>26</v>
      </c>
      <c r="AI7" s="58" t="s">
        <v>60</v>
      </c>
    </row>
    <row r="8" spans="1:35" ht="31.5" customHeight="1" x14ac:dyDescent="0.3">
      <c r="A8" s="276" t="s">
        <v>61</v>
      </c>
      <c r="B8" s="62" t="s">
        <v>62</v>
      </c>
      <c r="C8" s="63"/>
      <c r="D8" s="64"/>
      <c r="E8" s="65"/>
      <c r="F8" s="66">
        <f>SUM(F9:F57)</f>
        <v>191.16000000000003</v>
      </c>
      <c r="G8" s="66">
        <f>SUM(G9:G57)</f>
        <v>3.4</v>
      </c>
      <c r="H8" s="66">
        <f>SUM(H9:H57)</f>
        <v>0</v>
      </c>
      <c r="I8" s="67">
        <f>SUM(I9:I57)</f>
        <v>0.50180000000000002</v>
      </c>
      <c r="J8" s="276"/>
      <c r="K8" s="67">
        <f>SUM(K9:K57)</f>
        <v>36.193499999999993</v>
      </c>
      <c r="L8" s="67">
        <f>SUM(L9:L57)</f>
        <v>231.25529999999998</v>
      </c>
      <c r="M8" s="68">
        <f>SUM(M9:M57)</f>
        <v>541137402</v>
      </c>
      <c r="N8" s="69"/>
      <c r="O8" s="70">
        <f t="shared" ref="O8:T8" si="0">SUM(O9:O57)</f>
        <v>93.082899999999981</v>
      </c>
      <c r="P8" s="71">
        <f t="shared" si="0"/>
        <v>217813986</v>
      </c>
      <c r="Q8" s="71">
        <f t="shared" si="0"/>
        <v>0</v>
      </c>
      <c r="R8" s="71">
        <f t="shared" si="0"/>
        <v>56160000</v>
      </c>
      <c r="S8" s="72">
        <f t="shared" si="0"/>
        <v>0.5</v>
      </c>
      <c r="T8" s="71">
        <f t="shared" si="0"/>
        <v>1170000</v>
      </c>
      <c r="U8" s="66">
        <f>SUM(U9:U55)</f>
        <v>0.4</v>
      </c>
      <c r="V8" s="71">
        <f t="shared" ref="V8:AG8" si="1">SUM(V9:V57)</f>
        <v>936000</v>
      </c>
      <c r="W8" s="71">
        <f t="shared" si="1"/>
        <v>468000</v>
      </c>
      <c r="X8" s="71">
        <f>SUM(X9:X57)</f>
        <v>91993357</v>
      </c>
      <c r="Y8" s="71">
        <f t="shared" si="1"/>
        <v>43290994</v>
      </c>
      <c r="Z8" s="71">
        <f t="shared" si="1"/>
        <v>2705687</v>
      </c>
      <c r="AA8" s="71">
        <f t="shared" si="1"/>
        <v>16234123</v>
      </c>
      <c r="AB8" s="71">
        <f t="shared" si="1"/>
        <v>8117062</v>
      </c>
      <c r="AC8" s="71">
        <f t="shared" si="1"/>
        <v>5411378</v>
      </c>
      <c r="AD8" s="71">
        <f t="shared" si="1"/>
        <v>5411378</v>
      </c>
      <c r="AE8" s="71">
        <f t="shared" si="1"/>
        <v>10822745</v>
      </c>
      <c r="AF8" s="71">
        <f t="shared" si="1"/>
        <v>0</v>
      </c>
      <c r="AG8" s="71">
        <f t="shared" si="1"/>
        <v>0</v>
      </c>
      <c r="AH8" s="71">
        <f>SUM(AH9:AH57)</f>
        <v>760865954</v>
      </c>
      <c r="AI8" s="71"/>
    </row>
    <row r="9" spans="1:35" ht="20.25" customHeight="1" x14ac:dyDescent="0.3">
      <c r="A9" s="73" t="s">
        <v>137</v>
      </c>
      <c r="B9" s="74" t="s">
        <v>321</v>
      </c>
      <c r="C9" s="75" t="s">
        <v>123</v>
      </c>
      <c r="D9" s="76" t="s">
        <v>323</v>
      </c>
      <c r="E9" s="209">
        <v>45352</v>
      </c>
      <c r="F9" s="78">
        <v>4.9800000000000004</v>
      </c>
      <c r="G9" s="78">
        <v>0.5</v>
      </c>
      <c r="H9" s="199" t="s">
        <v>322</v>
      </c>
      <c r="I9" s="95">
        <f>(F9*H9)</f>
        <v>0.29880000000000001</v>
      </c>
      <c r="J9" s="92">
        <v>21</v>
      </c>
      <c r="K9" s="80">
        <f>ROUND((F9+G9+I9)*J9/100,4)</f>
        <v>1.2135</v>
      </c>
      <c r="L9" s="80">
        <f>F9+G9+I9+K9</f>
        <v>6.9923000000000002</v>
      </c>
      <c r="M9" s="81">
        <f>ROUND(L9*2340000,0)</f>
        <v>16361982</v>
      </c>
      <c r="N9" s="82">
        <v>0.5</v>
      </c>
      <c r="O9" s="268">
        <f t="shared" ref="O9:O40" si="2">(F9+G9+I9)*N9</f>
        <v>2.8894000000000002</v>
      </c>
      <c r="P9" s="81">
        <f>ROUND(O9*2340000,0)</f>
        <v>6761196</v>
      </c>
      <c r="Q9" s="83"/>
      <c r="R9" s="81">
        <f>ROUND(0.5*2340000,0)</f>
        <v>1170000</v>
      </c>
      <c r="S9" s="84"/>
      <c r="T9" s="81">
        <f>S9*2340000</f>
        <v>0</v>
      </c>
      <c r="U9" s="84"/>
      <c r="V9" s="85">
        <f>U9*2340000</f>
        <v>0</v>
      </c>
      <c r="W9" s="85"/>
      <c r="X9" s="81">
        <f>ROUND((L9*2340000*17/100),0)</f>
        <v>2781537</v>
      </c>
      <c r="Y9" s="81">
        <f>ROUND((L9*2340000*8/100),0)</f>
        <v>1308959</v>
      </c>
      <c r="Z9" s="81">
        <f>ROUND((L9*2340000*0.5/100),0)</f>
        <v>81810</v>
      </c>
      <c r="AA9" s="81">
        <f>ROUND((L9*2340000*3/100),0)</f>
        <v>490859</v>
      </c>
      <c r="AB9" s="81">
        <f>ROUND((L9*2340000*1.5/100),0)</f>
        <v>245430</v>
      </c>
      <c r="AC9" s="81">
        <f>ROUND((L9*2340000*1/100),0)</f>
        <v>163620</v>
      </c>
      <c r="AD9" s="81">
        <f>ROUND((L9*2340000*1/100),0)</f>
        <v>163620</v>
      </c>
      <c r="AE9" s="81">
        <f>ROUND((L9*2340000*2/100),0)</f>
        <v>327240</v>
      </c>
      <c r="AF9" s="74"/>
      <c r="AG9" s="81"/>
      <c r="AH9" s="81">
        <f t="shared" ref="AH9:AH57" si="3">M9-Y9-AB9-AD9+P9+R9+T9+V9+W9</f>
        <v>22575169</v>
      </c>
      <c r="AI9" s="81"/>
    </row>
    <row r="10" spans="1:35" ht="20.25" customHeight="1" x14ac:dyDescent="0.3">
      <c r="A10" s="73" t="s">
        <v>138</v>
      </c>
      <c r="B10" s="74" t="s">
        <v>89</v>
      </c>
      <c r="C10" s="75" t="s">
        <v>317</v>
      </c>
      <c r="D10" s="87" t="s">
        <v>178</v>
      </c>
      <c r="E10" s="204" t="s">
        <v>293</v>
      </c>
      <c r="F10" s="88">
        <v>3.99</v>
      </c>
      <c r="G10" s="88">
        <v>0.4</v>
      </c>
      <c r="H10" s="89"/>
      <c r="I10" s="75"/>
      <c r="J10" s="90">
        <v>20</v>
      </c>
      <c r="K10" s="80">
        <f t="shared" ref="K10:K14" si="4">ROUND((F10+G10+I10)*J10/100,4)</f>
        <v>0.878</v>
      </c>
      <c r="L10" s="80">
        <f t="shared" ref="L10:L40" si="5">F10+G10+I10+K10</f>
        <v>5.2680000000000007</v>
      </c>
      <c r="M10" s="81">
        <f t="shared" ref="M10:M62" si="6">ROUND(L10*2340000,0)</f>
        <v>12327120</v>
      </c>
      <c r="N10" s="82">
        <v>0.5</v>
      </c>
      <c r="O10" s="268">
        <f t="shared" si="2"/>
        <v>2.1950000000000003</v>
      </c>
      <c r="P10" s="81">
        <f t="shared" ref="P10:P62" si="7">ROUND(O10*2340000,0)</f>
        <v>5136300</v>
      </c>
      <c r="Q10" s="83"/>
      <c r="R10" s="81">
        <f t="shared" ref="R10:R62" si="8">ROUND(0.5*2340000,0)</f>
        <v>1170000</v>
      </c>
      <c r="S10" s="84"/>
      <c r="T10" s="81">
        <f t="shared" ref="T10:T57" si="9">S10*2340000</f>
        <v>0</v>
      </c>
      <c r="U10" s="84"/>
      <c r="V10" s="85">
        <f t="shared" ref="V10:V57" si="10">U10*2340000</f>
        <v>0</v>
      </c>
      <c r="W10" s="85"/>
      <c r="X10" s="81">
        <f t="shared" ref="X10:X57" si="11">ROUND((L10*2340000*17/100),0)</f>
        <v>2095610</v>
      </c>
      <c r="Y10" s="81">
        <f t="shared" ref="Y10:Y57" si="12">ROUND((L10*2340000*8/100),0)</f>
        <v>986170</v>
      </c>
      <c r="Z10" s="81">
        <f t="shared" ref="Z10:Z57" si="13">ROUND((L10*2340000*0.5/100),0)</f>
        <v>61636</v>
      </c>
      <c r="AA10" s="81">
        <f t="shared" ref="AA10:AA57" si="14">ROUND((L10*2340000*3/100),0)</f>
        <v>369814</v>
      </c>
      <c r="AB10" s="81">
        <f t="shared" ref="AB10:AB57" si="15">ROUND((L10*2340000*1.5/100),0)</f>
        <v>184907</v>
      </c>
      <c r="AC10" s="81">
        <f t="shared" ref="AC10:AC57" si="16">ROUND((L10*2340000*1/100),0)</f>
        <v>123271</v>
      </c>
      <c r="AD10" s="81">
        <f t="shared" ref="AD10:AD57" si="17">ROUND((L10*2340000*1/100),0)</f>
        <v>123271</v>
      </c>
      <c r="AE10" s="81">
        <f t="shared" ref="AE10:AE57" si="18">ROUND((L10*2340000*2/100),0)</f>
        <v>246542</v>
      </c>
      <c r="AF10" s="74"/>
      <c r="AG10" s="81"/>
      <c r="AH10" s="81">
        <f t="shared" si="3"/>
        <v>17339072</v>
      </c>
      <c r="AI10" s="74"/>
    </row>
    <row r="11" spans="1:35" ht="20.25" customHeight="1" x14ac:dyDescent="0.3">
      <c r="A11" s="73" t="s">
        <v>139</v>
      </c>
      <c r="B11" s="74" t="s">
        <v>24</v>
      </c>
      <c r="C11" s="75" t="s">
        <v>318</v>
      </c>
      <c r="D11" s="77" t="s">
        <v>178</v>
      </c>
      <c r="E11" s="144" t="s">
        <v>294</v>
      </c>
      <c r="F11" s="78">
        <v>4</v>
      </c>
      <c r="G11" s="78">
        <v>0.4</v>
      </c>
      <c r="H11" s="79"/>
      <c r="I11" s="75"/>
      <c r="J11" s="92">
        <v>20</v>
      </c>
      <c r="K11" s="80">
        <f t="shared" si="4"/>
        <v>0.88</v>
      </c>
      <c r="L11" s="80">
        <f t="shared" si="5"/>
        <v>5.28</v>
      </c>
      <c r="M11" s="81">
        <f t="shared" si="6"/>
        <v>12355200</v>
      </c>
      <c r="N11" s="82">
        <v>0.5</v>
      </c>
      <c r="O11" s="268">
        <f t="shared" si="2"/>
        <v>2.2000000000000002</v>
      </c>
      <c r="P11" s="81">
        <f t="shared" si="7"/>
        <v>5148000</v>
      </c>
      <c r="Q11" s="83"/>
      <c r="R11" s="81">
        <f t="shared" si="8"/>
        <v>1170000</v>
      </c>
      <c r="S11" s="84"/>
      <c r="T11" s="81">
        <f t="shared" si="9"/>
        <v>0</v>
      </c>
      <c r="U11" s="84"/>
      <c r="V11" s="85">
        <f t="shared" si="10"/>
        <v>0</v>
      </c>
      <c r="W11" s="85"/>
      <c r="X11" s="81">
        <f t="shared" si="11"/>
        <v>2100384</v>
      </c>
      <c r="Y11" s="81">
        <f t="shared" si="12"/>
        <v>988416</v>
      </c>
      <c r="Z11" s="81">
        <f t="shared" si="13"/>
        <v>61776</v>
      </c>
      <c r="AA11" s="81">
        <f t="shared" si="14"/>
        <v>370656</v>
      </c>
      <c r="AB11" s="81">
        <f t="shared" si="15"/>
        <v>185328</v>
      </c>
      <c r="AC11" s="81">
        <f t="shared" si="16"/>
        <v>123552</v>
      </c>
      <c r="AD11" s="81">
        <f t="shared" si="17"/>
        <v>123552</v>
      </c>
      <c r="AE11" s="81">
        <f t="shared" si="18"/>
        <v>247104</v>
      </c>
      <c r="AF11" s="74"/>
      <c r="AG11" s="81"/>
      <c r="AH11" s="81">
        <f t="shared" si="3"/>
        <v>17375904</v>
      </c>
      <c r="AI11" s="74"/>
    </row>
    <row r="12" spans="1:35" ht="20.25" customHeight="1" x14ac:dyDescent="0.3">
      <c r="A12" s="73" t="s">
        <v>140</v>
      </c>
      <c r="B12" s="74" t="s">
        <v>14</v>
      </c>
      <c r="C12" s="75" t="s">
        <v>90</v>
      </c>
      <c r="D12" s="77" t="s">
        <v>179</v>
      </c>
      <c r="E12" s="144" t="s">
        <v>295</v>
      </c>
      <c r="F12" s="93">
        <f>3.96+0.31</f>
        <v>4.2699999999999996</v>
      </c>
      <c r="G12" s="93"/>
      <c r="H12" s="197"/>
      <c r="I12" s="94"/>
      <c r="J12" s="198">
        <v>21</v>
      </c>
      <c r="K12" s="80">
        <f t="shared" ref="K12:K13" si="19">ROUND((F12+G12+I12)*J12/100,4)</f>
        <v>0.89670000000000005</v>
      </c>
      <c r="L12" s="80">
        <f t="shared" si="5"/>
        <v>5.1666999999999996</v>
      </c>
      <c r="M12" s="81">
        <f t="shared" si="6"/>
        <v>12090078</v>
      </c>
      <c r="N12" s="82">
        <v>0.5</v>
      </c>
      <c r="O12" s="268">
        <f t="shared" si="2"/>
        <v>2.1349999999999998</v>
      </c>
      <c r="P12" s="81">
        <f t="shared" si="7"/>
        <v>4995900</v>
      </c>
      <c r="Q12" s="83"/>
      <c r="R12" s="81">
        <f t="shared" si="8"/>
        <v>1170000</v>
      </c>
      <c r="S12" s="84"/>
      <c r="T12" s="81">
        <f t="shared" si="9"/>
        <v>0</v>
      </c>
      <c r="U12" s="84"/>
      <c r="V12" s="85">
        <f t="shared" si="10"/>
        <v>0</v>
      </c>
      <c r="W12" s="85"/>
      <c r="X12" s="81">
        <f t="shared" si="11"/>
        <v>2055313</v>
      </c>
      <c r="Y12" s="81">
        <f t="shared" si="12"/>
        <v>967206</v>
      </c>
      <c r="Z12" s="81">
        <f t="shared" si="13"/>
        <v>60450</v>
      </c>
      <c r="AA12" s="81">
        <f t="shared" si="14"/>
        <v>362702</v>
      </c>
      <c r="AB12" s="81">
        <f t="shared" si="15"/>
        <v>181351</v>
      </c>
      <c r="AC12" s="81">
        <f t="shared" si="16"/>
        <v>120901</v>
      </c>
      <c r="AD12" s="81">
        <f t="shared" si="17"/>
        <v>120901</v>
      </c>
      <c r="AE12" s="81">
        <f t="shared" si="18"/>
        <v>241802</v>
      </c>
      <c r="AF12" s="74"/>
      <c r="AG12" s="81"/>
      <c r="AH12" s="81">
        <f t="shared" si="3"/>
        <v>16986520</v>
      </c>
      <c r="AI12" s="74"/>
    </row>
    <row r="13" spans="1:35" ht="20.25" customHeight="1" x14ac:dyDescent="0.3">
      <c r="A13" s="73" t="s">
        <v>141</v>
      </c>
      <c r="B13" s="74" t="s">
        <v>15</v>
      </c>
      <c r="C13" s="75" t="s">
        <v>90</v>
      </c>
      <c r="D13" s="77" t="s">
        <v>178</v>
      </c>
      <c r="E13" s="144" t="s">
        <v>296</v>
      </c>
      <c r="F13" s="78">
        <v>3.96</v>
      </c>
      <c r="G13" s="78"/>
      <c r="H13" s="79"/>
      <c r="I13" s="75"/>
      <c r="J13" s="92">
        <v>16</v>
      </c>
      <c r="K13" s="80">
        <f t="shared" si="19"/>
        <v>0.63360000000000005</v>
      </c>
      <c r="L13" s="80">
        <f t="shared" si="5"/>
        <v>4.5936000000000003</v>
      </c>
      <c r="M13" s="81">
        <f t="shared" si="6"/>
        <v>10749024</v>
      </c>
      <c r="N13" s="82">
        <v>0.5</v>
      </c>
      <c r="O13" s="268">
        <f t="shared" si="2"/>
        <v>1.98</v>
      </c>
      <c r="P13" s="81">
        <f t="shared" si="7"/>
        <v>4633200</v>
      </c>
      <c r="Q13" s="83"/>
      <c r="R13" s="81">
        <f t="shared" si="8"/>
        <v>1170000</v>
      </c>
      <c r="S13" s="84"/>
      <c r="T13" s="81">
        <f t="shared" si="9"/>
        <v>0</v>
      </c>
      <c r="U13" s="84"/>
      <c r="V13" s="85">
        <f t="shared" si="10"/>
        <v>0</v>
      </c>
      <c r="W13" s="85"/>
      <c r="X13" s="81">
        <f t="shared" si="11"/>
        <v>1827334</v>
      </c>
      <c r="Y13" s="81">
        <f t="shared" si="12"/>
        <v>859922</v>
      </c>
      <c r="Z13" s="81">
        <f t="shared" si="13"/>
        <v>53745</v>
      </c>
      <c r="AA13" s="81">
        <f t="shared" si="14"/>
        <v>322471</v>
      </c>
      <c r="AB13" s="81">
        <f t="shared" si="15"/>
        <v>161235</v>
      </c>
      <c r="AC13" s="81">
        <f t="shared" si="16"/>
        <v>107490</v>
      </c>
      <c r="AD13" s="81">
        <f t="shared" si="17"/>
        <v>107490</v>
      </c>
      <c r="AE13" s="81">
        <f t="shared" si="18"/>
        <v>214980</v>
      </c>
      <c r="AF13" s="74"/>
      <c r="AG13" s="81"/>
      <c r="AH13" s="81">
        <f t="shared" si="3"/>
        <v>15423577</v>
      </c>
      <c r="AI13" s="74"/>
    </row>
    <row r="14" spans="1:35" ht="20.25" customHeight="1" x14ac:dyDescent="0.3">
      <c r="A14" s="73" t="s">
        <v>111</v>
      </c>
      <c r="B14" s="74" t="s">
        <v>16</v>
      </c>
      <c r="C14" s="75" t="s">
        <v>113</v>
      </c>
      <c r="D14" s="77" t="s">
        <v>180</v>
      </c>
      <c r="E14" s="144" t="s">
        <v>297</v>
      </c>
      <c r="F14" s="78">
        <v>3.86</v>
      </c>
      <c r="G14" s="78"/>
      <c r="H14" s="79"/>
      <c r="I14" s="75"/>
      <c r="J14" s="92">
        <v>19</v>
      </c>
      <c r="K14" s="80">
        <f t="shared" si="4"/>
        <v>0.73340000000000005</v>
      </c>
      <c r="L14" s="80">
        <f t="shared" si="5"/>
        <v>4.5933999999999999</v>
      </c>
      <c r="M14" s="81">
        <f t="shared" si="6"/>
        <v>10748556</v>
      </c>
      <c r="N14" s="82">
        <v>0.5</v>
      </c>
      <c r="O14" s="268">
        <f t="shared" si="2"/>
        <v>1.93</v>
      </c>
      <c r="P14" s="81">
        <f t="shared" si="7"/>
        <v>4516200</v>
      </c>
      <c r="Q14" s="83"/>
      <c r="R14" s="81">
        <f t="shared" si="8"/>
        <v>1170000</v>
      </c>
      <c r="S14" s="84"/>
      <c r="T14" s="81">
        <f t="shared" si="9"/>
        <v>0</v>
      </c>
      <c r="U14" s="84"/>
      <c r="V14" s="85">
        <f t="shared" si="10"/>
        <v>0</v>
      </c>
      <c r="W14" s="85"/>
      <c r="X14" s="81">
        <f t="shared" si="11"/>
        <v>1827255</v>
      </c>
      <c r="Y14" s="81">
        <f t="shared" si="12"/>
        <v>859884</v>
      </c>
      <c r="Z14" s="81">
        <f t="shared" si="13"/>
        <v>53743</v>
      </c>
      <c r="AA14" s="81">
        <f t="shared" si="14"/>
        <v>322457</v>
      </c>
      <c r="AB14" s="81">
        <f t="shared" si="15"/>
        <v>161228</v>
      </c>
      <c r="AC14" s="81">
        <f t="shared" si="16"/>
        <v>107486</v>
      </c>
      <c r="AD14" s="81">
        <f t="shared" si="17"/>
        <v>107486</v>
      </c>
      <c r="AE14" s="81">
        <f t="shared" si="18"/>
        <v>214971</v>
      </c>
      <c r="AF14" s="74"/>
      <c r="AG14" s="81"/>
      <c r="AH14" s="81">
        <f t="shared" si="3"/>
        <v>15306158</v>
      </c>
      <c r="AI14" s="74"/>
    </row>
    <row r="15" spans="1:35" ht="20.25" customHeight="1" x14ac:dyDescent="0.3">
      <c r="A15" s="73" t="s">
        <v>135</v>
      </c>
      <c r="B15" s="74" t="s">
        <v>17</v>
      </c>
      <c r="C15" s="75" t="s">
        <v>113</v>
      </c>
      <c r="D15" s="77" t="s">
        <v>181</v>
      </c>
      <c r="E15" s="144" t="s">
        <v>296</v>
      </c>
      <c r="F15" s="78">
        <f>3.86+0.2</f>
        <v>4.0599999999999996</v>
      </c>
      <c r="G15" s="78"/>
      <c r="H15" s="199" t="s">
        <v>287</v>
      </c>
      <c r="I15" s="95">
        <f>(F15*H15)</f>
        <v>0.20299999999999999</v>
      </c>
      <c r="J15" s="92">
        <v>24</v>
      </c>
      <c r="K15" s="80">
        <f>ROUND((F15+G15+I15)*J15/100,4)</f>
        <v>1.0230999999999999</v>
      </c>
      <c r="L15" s="80">
        <f>F15+G15+I15+K15</f>
        <v>5.2860999999999994</v>
      </c>
      <c r="M15" s="81">
        <f t="shared" si="6"/>
        <v>12369474</v>
      </c>
      <c r="N15" s="82">
        <v>0.5</v>
      </c>
      <c r="O15" s="268">
        <f t="shared" si="2"/>
        <v>2.1315</v>
      </c>
      <c r="P15" s="81">
        <f t="shared" si="7"/>
        <v>4987710</v>
      </c>
      <c r="Q15" s="83"/>
      <c r="R15" s="81">
        <f t="shared" si="8"/>
        <v>1170000</v>
      </c>
      <c r="S15" s="84"/>
      <c r="T15" s="81">
        <f t="shared" si="9"/>
        <v>0</v>
      </c>
      <c r="U15" s="84"/>
      <c r="V15" s="85">
        <f t="shared" si="10"/>
        <v>0</v>
      </c>
      <c r="W15" s="85"/>
      <c r="X15" s="81">
        <f t="shared" si="11"/>
        <v>2102811</v>
      </c>
      <c r="Y15" s="81">
        <f t="shared" si="12"/>
        <v>989558</v>
      </c>
      <c r="Z15" s="81">
        <f t="shared" si="13"/>
        <v>61847</v>
      </c>
      <c r="AA15" s="81">
        <f t="shared" si="14"/>
        <v>371084</v>
      </c>
      <c r="AB15" s="81">
        <f t="shared" si="15"/>
        <v>185542</v>
      </c>
      <c r="AC15" s="81">
        <f t="shared" si="16"/>
        <v>123695</v>
      </c>
      <c r="AD15" s="81">
        <f t="shared" si="17"/>
        <v>123695</v>
      </c>
      <c r="AE15" s="81">
        <f t="shared" si="18"/>
        <v>247389</v>
      </c>
      <c r="AF15" s="74"/>
      <c r="AG15" s="81"/>
      <c r="AH15" s="81">
        <f t="shared" si="3"/>
        <v>17228389</v>
      </c>
      <c r="AI15" s="74"/>
    </row>
    <row r="16" spans="1:35" ht="20.25" customHeight="1" x14ac:dyDescent="0.3">
      <c r="A16" s="73" t="s">
        <v>109</v>
      </c>
      <c r="B16" s="74" t="s">
        <v>12</v>
      </c>
      <c r="C16" s="75" t="s">
        <v>318</v>
      </c>
      <c r="D16" s="77" t="s">
        <v>179</v>
      </c>
      <c r="E16" s="144" t="s">
        <v>298</v>
      </c>
      <c r="F16" s="78">
        <v>4.68</v>
      </c>
      <c r="G16" s="78">
        <v>0.2</v>
      </c>
      <c r="H16" s="79"/>
      <c r="I16" s="75"/>
      <c r="J16" s="92">
        <v>24</v>
      </c>
      <c r="K16" s="80">
        <f t="shared" ref="K16" si="20">ROUND((F16+G16+I16)*J16/100,4)</f>
        <v>1.1712</v>
      </c>
      <c r="L16" s="80">
        <f t="shared" si="5"/>
        <v>6.0511999999999997</v>
      </c>
      <c r="M16" s="81">
        <f t="shared" si="6"/>
        <v>14159808</v>
      </c>
      <c r="N16" s="82">
        <v>0.5</v>
      </c>
      <c r="O16" s="268">
        <f t="shared" si="2"/>
        <v>2.44</v>
      </c>
      <c r="P16" s="81">
        <f t="shared" si="7"/>
        <v>5709600</v>
      </c>
      <c r="Q16" s="83"/>
      <c r="R16" s="81">
        <f t="shared" si="8"/>
        <v>1170000</v>
      </c>
      <c r="S16" s="84"/>
      <c r="T16" s="81">
        <f t="shared" si="9"/>
        <v>0</v>
      </c>
      <c r="U16" s="84"/>
      <c r="V16" s="85">
        <f t="shared" si="10"/>
        <v>0</v>
      </c>
      <c r="W16" s="85"/>
      <c r="X16" s="81">
        <f t="shared" si="11"/>
        <v>2407167</v>
      </c>
      <c r="Y16" s="81">
        <f t="shared" si="12"/>
        <v>1132785</v>
      </c>
      <c r="Z16" s="81">
        <f t="shared" si="13"/>
        <v>70799</v>
      </c>
      <c r="AA16" s="81">
        <f t="shared" si="14"/>
        <v>424794</v>
      </c>
      <c r="AB16" s="81">
        <f t="shared" si="15"/>
        <v>212397</v>
      </c>
      <c r="AC16" s="81">
        <f t="shared" si="16"/>
        <v>141598</v>
      </c>
      <c r="AD16" s="81">
        <f t="shared" si="17"/>
        <v>141598</v>
      </c>
      <c r="AE16" s="81">
        <f t="shared" si="18"/>
        <v>283196</v>
      </c>
      <c r="AF16" s="74"/>
      <c r="AG16" s="81"/>
      <c r="AH16" s="81">
        <f t="shared" si="3"/>
        <v>19552628</v>
      </c>
      <c r="AI16" s="74"/>
    </row>
    <row r="17" spans="1:35" ht="20.25" customHeight="1" x14ac:dyDescent="0.3">
      <c r="A17" s="73" t="s">
        <v>136</v>
      </c>
      <c r="B17" s="74" t="s">
        <v>18</v>
      </c>
      <c r="C17" s="75" t="s">
        <v>317</v>
      </c>
      <c r="D17" s="87" t="s">
        <v>182</v>
      </c>
      <c r="E17" s="204" t="s">
        <v>299</v>
      </c>
      <c r="F17" s="226">
        <v>3.66</v>
      </c>
      <c r="G17" s="226"/>
      <c r="H17" s="227"/>
      <c r="I17" s="228"/>
      <c r="J17" s="229">
        <v>18</v>
      </c>
      <c r="K17" s="80">
        <f t="shared" ref="K17:K18" si="21">ROUND((F17+G17+I17)*J17/100,4)</f>
        <v>0.65880000000000005</v>
      </c>
      <c r="L17" s="80">
        <f t="shared" si="5"/>
        <v>4.3188000000000004</v>
      </c>
      <c r="M17" s="81">
        <f t="shared" si="6"/>
        <v>10105992</v>
      </c>
      <c r="N17" s="230">
        <v>0.5</v>
      </c>
      <c r="O17" s="268">
        <f t="shared" si="2"/>
        <v>1.83</v>
      </c>
      <c r="P17" s="81">
        <f t="shared" si="7"/>
        <v>4282200</v>
      </c>
      <c r="Q17" s="83"/>
      <c r="R17" s="81">
        <f t="shared" si="8"/>
        <v>1170000</v>
      </c>
      <c r="S17" s="84"/>
      <c r="T17" s="81">
        <f t="shared" si="9"/>
        <v>0</v>
      </c>
      <c r="U17" s="84"/>
      <c r="V17" s="85">
        <f t="shared" si="10"/>
        <v>0</v>
      </c>
      <c r="W17" s="85"/>
      <c r="X17" s="81">
        <f t="shared" si="11"/>
        <v>1718019</v>
      </c>
      <c r="Y17" s="81">
        <f t="shared" si="12"/>
        <v>808479</v>
      </c>
      <c r="Z17" s="81">
        <f t="shared" si="13"/>
        <v>50530</v>
      </c>
      <c r="AA17" s="81">
        <f t="shared" si="14"/>
        <v>303180</v>
      </c>
      <c r="AB17" s="81">
        <f t="shared" si="15"/>
        <v>151590</v>
      </c>
      <c r="AC17" s="81">
        <f t="shared" si="16"/>
        <v>101060</v>
      </c>
      <c r="AD17" s="81">
        <f t="shared" si="17"/>
        <v>101060</v>
      </c>
      <c r="AE17" s="81">
        <f t="shared" si="18"/>
        <v>202120</v>
      </c>
      <c r="AF17" s="74"/>
      <c r="AG17" s="81"/>
      <c r="AH17" s="81">
        <f t="shared" si="3"/>
        <v>14497063</v>
      </c>
      <c r="AI17" s="74"/>
    </row>
    <row r="18" spans="1:35" ht="20.25" customHeight="1" x14ac:dyDescent="0.3">
      <c r="A18" s="73" t="s">
        <v>108</v>
      </c>
      <c r="B18" s="74" t="s">
        <v>25</v>
      </c>
      <c r="C18" s="75" t="s">
        <v>318</v>
      </c>
      <c r="D18" s="77" t="s">
        <v>188</v>
      </c>
      <c r="E18" s="204" t="s">
        <v>319</v>
      </c>
      <c r="F18" s="78">
        <v>4</v>
      </c>
      <c r="G18" s="78">
        <v>0.15</v>
      </c>
      <c r="H18" s="79"/>
      <c r="I18" s="75"/>
      <c r="J18" s="90">
        <v>15</v>
      </c>
      <c r="K18" s="80">
        <f t="shared" si="21"/>
        <v>0.62250000000000005</v>
      </c>
      <c r="L18" s="80">
        <f t="shared" si="5"/>
        <v>4.7725000000000009</v>
      </c>
      <c r="M18" s="81">
        <f t="shared" si="6"/>
        <v>11167650</v>
      </c>
      <c r="N18" s="82">
        <v>0.5</v>
      </c>
      <c r="O18" s="268">
        <f t="shared" si="2"/>
        <v>2.0750000000000002</v>
      </c>
      <c r="P18" s="81">
        <f t="shared" si="7"/>
        <v>4855500</v>
      </c>
      <c r="Q18" s="83"/>
      <c r="R18" s="81">
        <f t="shared" si="8"/>
        <v>1170000</v>
      </c>
      <c r="S18" s="84"/>
      <c r="T18" s="81">
        <f t="shared" si="9"/>
        <v>0</v>
      </c>
      <c r="U18" s="84"/>
      <c r="V18" s="85">
        <f t="shared" si="10"/>
        <v>0</v>
      </c>
      <c r="W18" s="85"/>
      <c r="X18" s="81">
        <f t="shared" si="11"/>
        <v>1898501</v>
      </c>
      <c r="Y18" s="81">
        <f t="shared" si="12"/>
        <v>893412</v>
      </c>
      <c r="Z18" s="81">
        <f t="shared" si="13"/>
        <v>55838</v>
      </c>
      <c r="AA18" s="81">
        <f t="shared" si="14"/>
        <v>335030</v>
      </c>
      <c r="AB18" s="81">
        <f t="shared" si="15"/>
        <v>167515</v>
      </c>
      <c r="AC18" s="81">
        <f t="shared" si="16"/>
        <v>111677</v>
      </c>
      <c r="AD18" s="81">
        <f t="shared" si="17"/>
        <v>111677</v>
      </c>
      <c r="AE18" s="81">
        <f t="shared" si="18"/>
        <v>223353</v>
      </c>
      <c r="AF18" s="74"/>
      <c r="AG18" s="81"/>
      <c r="AH18" s="81">
        <f t="shared" si="3"/>
        <v>16020546</v>
      </c>
      <c r="AI18" s="74"/>
    </row>
    <row r="19" spans="1:35" ht="20.25" customHeight="1" x14ac:dyDescent="0.3">
      <c r="A19" s="73" t="s">
        <v>106</v>
      </c>
      <c r="B19" s="74" t="s">
        <v>93</v>
      </c>
      <c r="C19" s="75" t="s">
        <v>318</v>
      </c>
      <c r="D19" s="77" t="s">
        <v>181</v>
      </c>
      <c r="E19" s="144" t="s">
        <v>300</v>
      </c>
      <c r="F19" s="78">
        <v>4.34</v>
      </c>
      <c r="G19" s="78"/>
      <c r="H19" s="79"/>
      <c r="I19" s="75"/>
      <c r="J19" s="92">
        <v>24</v>
      </c>
      <c r="K19" s="80">
        <f t="shared" ref="K19:K26" si="22">ROUND((F19+G19+I19)*J19/100,4)</f>
        <v>1.0416000000000001</v>
      </c>
      <c r="L19" s="80">
        <f t="shared" si="5"/>
        <v>5.3815999999999997</v>
      </c>
      <c r="M19" s="81">
        <f t="shared" si="6"/>
        <v>12592944</v>
      </c>
      <c r="N19" s="82">
        <v>0.5</v>
      </c>
      <c r="O19" s="268">
        <f t="shared" si="2"/>
        <v>2.17</v>
      </c>
      <c r="P19" s="81">
        <f t="shared" si="7"/>
        <v>5077800</v>
      </c>
      <c r="Q19" s="83"/>
      <c r="R19" s="81">
        <f t="shared" si="8"/>
        <v>1170000</v>
      </c>
      <c r="S19" s="84"/>
      <c r="T19" s="81">
        <f t="shared" si="9"/>
        <v>0</v>
      </c>
      <c r="U19" s="84"/>
      <c r="V19" s="85">
        <f t="shared" si="10"/>
        <v>0</v>
      </c>
      <c r="W19" s="85"/>
      <c r="X19" s="81">
        <f t="shared" si="11"/>
        <v>2140800</v>
      </c>
      <c r="Y19" s="81">
        <f t="shared" si="12"/>
        <v>1007436</v>
      </c>
      <c r="Z19" s="81">
        <f t="shared" si="13"/>
        <v>62965</v>
      </c>
      <c r="AA19" s="81">
        <f t="shared" si="14"/>
        <v>377788</v>
      </c>
      <c r="AB19" s="81">
        <f t="shared" si="15"/>
        <v>188894</v>
      </c>
      <c r="AC19" s="81">
        <f t="shared" si="16"/>
        <v>125929</v>
      </c>
      <c r="AD19" s="81">
        <f t="shared" si="17"/>
        <v>125929</v>
      </c>
      <c r="AE19" s="81">
        <f t="shared" si="18"/>
        <v>251859</v>
      </c>
      <c r="AF19" s="74"/>
      <c r="AG19" s="81"/>
      <c r="AH19" s="81">
        <f t="shared" si="3"/>
        <v>17518485</v>
      </c>
      <c r="AI19" s="74"/>
    </row>
    <row r="20" spans="1:35" ht="20.25" customHeight="1" x14ac:dyDescent="0.3">
      <c r="A20" s="73" t="s">
        <v>105</v>
      </c>
      <c r="B20" s="74" t="s">
        <v>19</v>
      </c>
      <c r="C20" s="75" t="s">
        <v>317</v>
      </c>
      <c r="D20" s="77" t="s">
        <v>184</v>
      </c>
      <c r="E20" s="144" t="s">
        <v>301</v>
      </c>
      <c r="F20" s="78">
        <v>4.32</v>
      </c>
      <c r="G20" s="78"/>
      <c r="H20" s="231"/>
      <c r="I20" s="96"/>
      <c r="J20" s="92">
        <v>27</v>
      </c>
      <c r="K20" s="80">
        <f t="shared" si="22"/>
        <v>1.1664000000000001</v>
      </c>
      <c r="L20" s="80">
        <f t="shared" si="5"/>
        <v>5.4864000000000006</v>
      </c>
      <c r="M20" s="81">
        <f t="shared" si="6"/>
        <v>12838176</v>
      </c>
      <c r="N20" s="82">
        <v>0.5</v>
      </c>
      <c r="O20" s="268">
        <f t="shared" si="2"/>
        <v>2.16</v>
      </c>
      <c r="P20" s="81">
        <f t="shared" si="7"/>
        <v>5054400</v>
      </c>
      <c r="Q20" s="83"/>
      <c r="R20" s="81">
        <f t="shared" si="8"/>
        <v>1170000</v>
      </c>
      <c r="S20" s="84"/>
      <c r="T20" s="81">
        <f t="shared" si="9"/>
        <v>0</v>
      </c>
      <c r="U20" s="84"/>
      <c r="V20" s="85">
        <f t="shared" si="10"/>
        <v>0</v>
      </c>
      <c r="W20" s="85"/>
      <c r="X20" s="81">
        <f t="shared" si="11"/>
        <v>2182490</v>
      </c>
      <c r="Y20" s="81">
        <f t="shared" si="12"/>
        <v>1027054</v>
      </c>
      <c r="Z20" s="81">
        <f t="shared" si="13"/>
        <v>64191</v>
      </c>
      <c r="AA20" s="81">
        <f t="shared" si="14"/>
        <v>385145</v>
      </c>
      <c r="AB20" s="81">
        <f t="shared" si="15"/>
        <v>192573</v>
      </c>
      <c r="AC20" s="81">
        <f t="shared" si="16"/>
        <v>128382</v>
      </c>
      <c r="AD20" s="81">
        <f t="shared" si="17"/>
        <v>128382</v>
      </c>
      <c r="AE20" s="81">
        <f t="shared" si="18"/>
        <v>256764</v>
      </c>
      <c r="AF20" s="74"/>
      <c r="AG20" s="81"/>
      <c r="AH20" s="81">
        <f t="shared" si="3"/>
        <v>17714567</v>
      </c>
      <c r="AI20" s="74"/>
    </row>
    <row r="21" spans="1:35" ht="20.25" customHeight="1" x14ac:dyDescent="0.3">
      <c r="A21" s="73" t="s">
        <v>103</v>
      </c>
      <c r="B21" s="74" t="s">
        <v>20</v>
      </c>
      <c r="C21" s="75" t="s">
        <v>123</v>
      </c>
      <c r="D21" s="77" t="s">
        <v>183</v>
      </c>
      <c r="E21" s="144" t="s">
        <v>302</v>
      </c>
      <c r="F21" s="78">
        <v>4.6500000000000004</v>
      </c>
      <c r="G21" s="78"/>
      <c r="H21" s="79"/>
      <c r="I21" s="75"/>
      <c r="J21" s="92">
        <v>26</v>
      </c>
      <c r="K21" s="80">
        <f t="shared" si="22"/>
        <v>1.2090000000000001</v>
      </c>
      <c r="L21" s="80">
        <f t="shared" si="5"/>
        <v>5.859</v>
      </c>
      <c r="M21" s="81">
        <f t="shared" si="6"/>
        <v>13710060</v>
      </c>
      <c r="N21" s="82">
        <v>0.5</v>
      </c>
      <c r="O21" s="268">
        <f t="shared" si="2"/>
        <v>2.3250000000000002</v>
      </c>
      <c r="P21" s="81">
        <f t="shared" si="7"/>
        <v>5440500</v>
      </c>
      <c r="Q21" s="83"/>
      <c r="R21" s="81">
        <f t="shared" si="8"/>
        <v>1170000</v>
      </c>
      <c r="S21" s="84"/>
      <c r="T21" s="81">
        <f t="shared" si="9"/>
        <v>0</v>
      </c>
      <c r="U21" s="84"/>
      <c r="V21" s="85">
        <f t="shared" si="10"/>
        <v>0</v>
      </c>
      <c r="W21" s="85"/>
      <c r="X21" s="81">
        <f t="shared" si="11"/>
        <v>2330710</v>
      </c>
      <c r="Y21" s="81">
        <f t="shared" si="12"/>
        <v>1096805</v>
      </c>
      <c r="Z21" s="81">
        <f t="shared" si="13"/>
        <v>68550</v>
      </c>
      <c r="AA21" s="81">
        <f t="shared" si="14"/>
        <v>411302</v>
      </c>
      <c r="AB21" s="81">
        <f t="shared" si="15"/>
        <v>205651</v>
      </c>
      <c r="AC21" s="81">
        <f t="shared" si="16"/>
        <v>137101</v>
      </c>
      <c r="AD21" s="81">
        <f t="shared" si="17"/>
        <v>137101</v>
      </c>
      <c r="AE21" s="81">
        <f t="shared" si="18"/>
        <v>274201</v>
      </c>
      <c r="AF21" s="74"/>
      <c r="AG21" s="81"/>
      <c r="AH21" s="81">
        <f t="shared" si="3"/>
        <v>18881003</v>
      </c>
      <c r="AI21" s="74"/>
    </row>
    <row r="22" spans="1:35" ht="20.25" customHeight="1" x14ac:dyDescent="0.3">
      <c r="A22" s="73" t="s">
        <v>142</v>
      </c>
      <c r="B22" s="74" t="s">
        <v>21</v>
      </c>
      <c r="C22" s="75" t="s">
        <v>318</v>
      </c>
      <c r="D22" s="77" t="s">
        <v>278</v>
      </c>
      <c r="E22" s="144" t="s">
        <v>303</v>
      </c>
      <c r="F22" s="78">
        <v>4</v>
      </c>
      <c r="G22" s="78"/>
      <c r="H22" s="232"/>
      <c r="I22" s="75"/>
      <c r="J22" s="233">
        <v>17</v>
      </c>
      <c r="K22" s="80">
        <f t="shared" si="22"/>
        <v>0.68</v>
      </c>
      <c r="L22" s="80">
        <f t="shared" si="5"/>
        <v>4.68</v>
      </c>
      <c r="M22" s="81">
        <f t="shared" si="6"/>
        <v>10951200</v>
      </c>
      <c r="N22" s="82">
        <v>0.5</v>
      </c>
      <c r="O22" s="268">
        <f t="shared" si="2"/>
        <v>2</v>
      </c>
      <c r="P22" s="81">
        <f t="shared" si="7"/>
        <v>4680000</v>
      </c>
      <c r="Q22" s="83"/>
      <c r="R22" s="81">
        <f t="shared" si="8"/>
        <v>1170000</v>
      </c>
      <c r="S22" s="84"/>
      <c r="T22" s="81">
        <f t="shared" si="9"/>
        <v>0</v>
      </c>
      <c r="U22" s="84"/>
      <c r="V22" s="85">
        <f t="shared" si="10"/>
        <v>0</v>
      </c>
      <c r="W22" s="85"/>
      <c r="X22" s="81">
        <f t="shared" si="11"/>
        <v>1861704</v>
      </c>
      <c r="Y22" s="81">
        <f t="shared" si="12"/>
        <v>876096</v>
      </c>
      <c r="Z22" s="81">
        <f t="shared" si="13"/>
        <v>54756</v>
      </c>
      <c r="AA22" s="81">
        <f t="shared" si="14"/>
        <v>328536</v>
      </c>
      <c r="AB22" s="81">
        <f t="shared" si="15"/>
        <v>164268</v>
      </c>
      <c r="AC22" s="81">
        <f t="shared" si="16"/>
        <v>109512</v>
      </c>
      <c r="AD22" s="81">
        <f t="shared" si="17"/>
        <v>109512</v>
      </c>
      <c r="AE22" s="81">
        <f t="shared" si="18"/>
        <v>219024</v>
      </c>
      <c r="AF22" s="74"/>
      <c r="AG22" s="81"/>
      <c r="AH22" s="81">
        <f t="shared" si="3"/>
        <v>15651324</v>
      </c>
      <c r="AI22" s="74"/>
    </row>
    <row r="23" spans="1:35" ht="20.25" customHeight="1" x14ac:dyDescent="0.3">
      <c r="A23" s="73" t="s">
        <v>143</v>
      </c>
      <c r="B23" s="74" t="s">
        <v>26</v>
      </c>
      <c r="C23" s="75" t="s">
        <v>317</v>
      </c>
      <c r="D23" s="77" t="s">
        <v>188</v>
      </c>
      <c r="E23" s="204" t="s">
        <v>319</v>
      </c>
      <c r="F23" s="88">
        <v>3.66</v>
      </c>
      <c r="G23" s="88"/>
      <c r="H23" s="97"/>
      <c r="I23" s="97"/>
      <c r="J23" s="90">
        <v>15</v>
      </c>
      <c r="K23" s="80">
        <f t="shared" si="22"/>
        <v>0.54900000000000004</v>
      </c>
      <c r="L23" s="80">
        <f t="shared" si="5"/>
        <v>4.2090000000000005</v>
      </c>
      <c r="M23" s="81">
        <f t="shared" si="6"/>
        <v>9849060</v>
      </c>
      <c r="N23" s="82">
        <v>0.5</v>
      </c>
      <c r="O23" s="268">
        <f t="shared" si="2"/>
        <v>1.83</v>
      </c>
      <c r="P23" s="81">
        <f t="shared" si="7"/>
        <v>4282200</v>
      </c>
      <c r="Q23" s="83"/>
      <c r="R23" s="81">
        <f t="shared" si="8"/>
        <v>1170000</v>
      </c>
      <c r="S23" s="84"/>
      <c r="T23" s="81">
        <f t="shared" si="9"/>
        <v>0</v>
      </c>
      <c r="U23" s="84"/>
      <c r="V23" s="85">
        <f t="shared" si="10"/>
        <v>0</v>
      </c>
      <c r="W23" s="85"/>
      <c r="X23" s="81">
        <f t="shared" si="11"/>
        <v>1674340</v>
      </c>
      <c r="Y23" s="81">
        <f t="shared" si="12"/>
        <v>787925</v>
      </c>
      <c r="Z23" s="81">
        <f t="shared" si="13"/>
        <v>49245</v>
      </c>
      <c r="AA23" s="81">
        <f t="shared" si="14"/>
        <v>295472</v>
      </c>
      <c r="AB23" s="81">
        <f t="shared" si="15"/>
        <v>147736</v>
      </c>
      <c r="AC23" s="81">
        <f t="shared" si="16"/>
        <v>98491</v>
      </c>
      <c r="AD23" s="81">
        <f t="shared" si="17"/>
        <v>98491</v>
      </c>
      <c r="AE23" s="81">
        <f t="shared" si="18"/>
        <v>196981</v>
      </c>
      <c r="AF23" s="74"/>
      <c r="AG23" s="81"/>
      <c r="AH23" s="81">
        <f t="shared" si="3"/>
        <v>14267108</v>
      </c>
      <c r="AI23" s="74"/>
    </row>
    <row r="24" spans="1:35" ht="20.25" customHeight="1" x14ac:dyDescent="0.3">
      <c r="A24" s="73" t="s">
        <v>101</v>
      </c>
      <c r="B24" s="74" t="s">
        <v>94</v>
      </c>
      <c r="C24" s="75" t="s">
        <v>317</v>
      </c>
      <c r="D24" s="87" t="s">
        <v>188</v>
      </c>
      <c r="E24" s="204" t="s">
        <v>319</v>
      </c>
      <c r="F24" s="78">
        <v>3.66</v>
      </c>
      <c r="G24" s="234">
        <v>0.2</v>
      </c>
      <c r="H24" s="79"/>
      <c r="I24" s="75"/>
      <c r="J24" s="90">
        <v>15</v>
      </c>
      <c r="K24" s="80">
        <f t="shared" si="22"/>
        <v>0.57899999999999996</v>
      </c>
      <c r="L24" s="80">
        <f t="shared" si="5"/>
        <v>4.4390000000000001</v>
      </c>
      <c r="M24" s="81">
        <f t="shared" si="6"/>
        <v>10387260</v>
      </c>
      <c r="N24" s="82">
        <v>0.5</v>
      </c>
      <c r="O24" s="268">
        <f t="shared" si="2"/>
        <v>1.9300000000000002</v>
      </c>
      <c r="P24" s="81">
        <f t="shared" si="7"/>
        <v>4516200</v>
      </c>
      <c r="Q24" s="83"/>
      <c r="R24" s="81">
        <f t="shared" si="8"/>
        <v>1170000</v>
      </c>
      <c r="S24" s="84"/>
      <c r="T24" s="81">
        <f t="shared" si="9"/>
        <v>0</v>
      </c>
      <c r="U24" s="84"/>
      <c r="V24" s="85">
        <f t="shared" si="10"/>
        <v>0</v>
      </c>
      <c r="W24" s="85"/>
      <c r="X24" s="81">
        <f t="shared" si="11"/>
        <v>1765834</v>
      </c>
      <c r="Y24" s="81">
        <f t="shared" si="12"/>
        <v>830981</v>
      </c>
      <c r="Z24" s="81">
        <f t="shared" si="13"/>
        <v>51936</v>
      </c>
      <c r="AA24" s="81">
        <f t="shared" si="14"/>
        <v>311618</v>
      </c>
      <c r="AB24" s="81">
        <f t="shared" si="15"/>
        <v>155809</v>
      </c>
      <c r="AC24" s="81">
        <f t="shared" si="16"/>
        <v>103873</v>
      </c>
      <c r="AD24" s="81">
        <f t="shared" si="17"/>
        <v>103873</v>
      </c>
      <c r="AE24" s="81">
        <f t="shared" si="18"/>
        <v>207745</v>
      </c>
      <c r="AF24" s="74"/>
      <c r="AG24" s="81"/>
      <c r="AH24" s="81">
        <f t="shared" si="3"/>
        <v>14982797</v>
      </c>
      <c r="AI24" s="74"/>
    </row>
    <row r="25" spans="1:35" ht="20.25" customHeight="1" x14ac:dyDescent="0.3">
      <c r="A25" s="73" t="s">
        <v>92</v>
      </c>
      <c r="B25" s="74" t="s">
        <v>88</v>
      </c>
      <c r="C25" s="75" t="s">
        <v>317</v>
      </c>
      <c r="D25" s="77" t="s">
        <v>185</v>
      </c>
      <c r="E25" s="204" t="s">
        <v>319</v>
      </c>
      <c r="F25" s="88">
        <v>3.66</v>
      </c>
      <c r="G25" s="88"/>
      <c r="H25" s="89"/>
      <c r="I25" s="75"/>
      <c r="J25" s="92">
        <v>17</v>
      </c>
      <c r="K25" s="80">
        <f t="shared" si="22"/>
        <v>0.62219999999999998</v>
      </c>
      <c r="L25" s="80">
        <f t="shared" si="5"/>
        <v>4.2822000000000005</v>
      </c>
      <c r="M25" s="81">
        <f t="shared" si="6"/>
        <v>10020348</v>
      </c>
      <c r="N25" s="82">
        <v>0.5</v>
      </c>
      <c r="O25" s="268">
        <f t="shared" si="2"/>
        <v>1.83</v>
      </c>
      <c r="P25" s="81">
        <f t="shared" si="7"/>
        <v>4282200</v>
      </c>
      <c r="Q25" s="83"/>
      <c r="R25" s="81">
        <f t="shared" si="8"/>
        <v>1170000</v>
      </c>
      <c r="S25" s="84"/>
      <c r="T25" s="81">
        <f t="shared" si="9"/>
        <v>0</v>
      </c>
      <c r="U25" s="84"/>
      <c r="V25" s="85">
        <f t="shared" si="10"/>
        <v>0</v>
      </c>
      <c r="W25" s="85"/>
      <c r="X25" s="81">
        <f t="shared" si="11"/>
        <v>1703459</v>
      </c>
      <c r="Y25" s="81">
        <f t="shared" si="12"/>
        <v>801628</v>
      </c>
      <c r="Z25" s="81">
        <f t="shared" si="13"/>
        <v>50102</v>
      </c>
      <c r="AA25" s="81">
        <f t="shared" si="14"/>
        <v>300610</v>
      </c>
      <c r="AB25" s="81">
        <f t="shared" si="15"/>
        <v>150305</v>
      </c>
      <c r="AC25" s="81">
        <f t="shared" si="16"/>
        <v>100203</v>
      </c>
      <c r="AD25" s="81">
        <f t="shared" si="17"/>
        <v>100203</v>
      </c>
      <c r="AE25" s="81">
        <f t="shared" si="18"/>
        <v>200407</v>
      </c>
      <c r="AF25" s="74"/>
      <c r="AG25" s="81"/>
      <c r="AH25" s="81">
        <f t="shared" si="3"/>
        <v>14420412</v>
      </c>
      <c r="AI25" s="74"/>
    </row>
    <row r="26" spans="1:35" ht="20.25" customHeight="1" x14ac:dyDescent="0.3">
      <c r="A26" s="73" t="s">
        <v>134</v>
      </c>
      <c r="B26" s="74" t="s">
        <v>10</v>
      </c>
      <c r="C26" s="75" t="s">
        <v>317</v>
      </c>
      <c r="D26" s="77" t="s">
        <v>189</v>
      </c>
      <c r="E26" s="144" t="s">
        <v>304</v>
      </c>
      <c r="F26" s="78">
        <v>3.66</v>
      </c>
      <c r="G26" s="78"/>
      <c r="H26" s="79"/>
      <c r="I26" s="75"/>
      <c r="J26" s="92">
        <v>13</v>
      </c>
      <c r="K26" s="80">
        <f t="shared" si="22"/>
        <v>0.4758</v>
      </c>
      <c r="L26" s="80">
        <f t="shared" si="5"/>
        <v>4.1357999999999997</v>
      </c>
      <c r="M26" s="81">
        <f t="shared" si="6"/>
        <v>9677772</v>
      </c>
      <c r="N26" s="82">
        <v>0.5</v>
      </c>
      <c r="O26" s="268">
        <f t="shared" si="2"/>
        <v>1.83</v>
      </c>
      <c r="P26" s="81">
        <f t="shared" si="7"/>
        <v>4282200</v>
      </c>
      <c r="Q26" s="83"/>
      <c r="R26" s="81">
        <f t="shared" si="8"/>
        <v>1170000</v>
      </c>
      <c r="S26" s="84">
        <v>0.3</v>
      </c>
      <c r="T26" s="81">
        <f t="shared" si="9"/>
        <v>702000</v>
      </c>
      <c r="U26" s="84"/>
      <c r="V26" s="85">
        <f t="shared" si="10"/>
        <v>0</v>
      </c>
      <c r="W26" s="85">
        <f>0.2*2340000</f>
        <v>468000</v>
      </c>
      <c r="X26" s="81">
        <f t="shared" si="11"/>
        <v>1645221</v>
      </c>
      <c r="Y26" s="81">
        <f t="shared" si="12"/>
        <v>774222</v>
      </c>
      <c r="Z26" s="81">
        <f t="shared" si="13"/>
        <v>48389</v>
      </c>
      <c r="AA26" s="81">
        <f t="shared" si="14"/>
        <v>290333</v>
      </c>
      <c r="AB26" s="81">
        <f t="shared" si="15"/>
        <v>145167</v>
      </c>
      <c r="AC26" s="81">
        <f t="shared" si="16"/>
        <v>96778</v>
      </c>
      <c r="AD26" s="81">
        <f t="shared" si="17"/>
        <v>96778</v>
      </c>
      <c r="AE26" s="81">
        <f t="shared" si="18"/>
        <v>193555</v>
      </c>
      <c r="AF26" s="74"/>
      <c r="AG26" s="81"/>
      <c r="AH26" s="81">
        <f t="shared" si="3"/>
        <v>15283805</v>
      </c>
      <c r="AI26" s="74"/>
    </row>
    <row r="27" spans="1:35" ht="20.25" customHeight="1" x14ac:dyDescent="0.3">
      <c r="A27" s="73" t="s">
        <v>97</v>
      </c>
      <c r="B27" s="74" t="s">
        <v>95</v>
      </c>
      <c r="C27" s="75" t="s">
        <v>317</v>
      </c>
      <c r="D27" s="77" t="s">
        <v>188</v>
      </c>
      <c r="E27" s="204" t="s">
        <v>319</v>
      </c>
      <c r="F27" s="78">
        <v>3.66</v>
      </c>
      <c r="G27" s="78">
        <v>0.2</v>
      </c>
      <c r="H27" s="79"/>
      <c r="I27" s="75"/>
      <c r="J27" s="90">
        <v>15</v>
      </c>
      <c r="K27" s="80">
        <f t="shared" ref="K27:K51" si="23">ROUND((F27+G27+I27)*J27/100,4)</f>
        <v>0.57899999999999996</v>
      </c>
      <c r="L27" s="80">
        <f t="shared" si="5"/>
        <v>4.4390000000000001</v>
      </c>
      <c r="M27" s="81">
        <f t="shared" si="6"/>
        <v>10387260</v>
      </c>
      <c r="N27" s="82">
        <v>0.5</v>
      </c>
      <c r="O27" s="268">
        <f t="shared" si="2"/>
        <v>1.9300000000000002</v>
      </c>
      <c r="P27" s="81">
        <f t="shared" si="7"/>
        <v>4516200</v>
      </c>
      <c r="Q27" s="83"/>
      <c r="R27" s="81">
        <f t="shared" si="8"/>
        <v>1170000</v>
      </c>
      <c r="S27" s="84"/>
      <c r="T27" s="81">
        <f t="shared" si="9"/>
        <v>0</v>
      </c>
      <c r="U27" s="84"/>
      <c r="V27" s="85">
        <f t="shared" si="10"/>
        <v>0</v>
      </c>
      <c r="W27" s="85"/>
      <c r="X27" s="81">
        <f t="shared" si="11"/>
        <v>1765834</v>
      </c>
      <c r="Y27" s="81">
        <f t="shared" si="12"/>
        <v>830981</v>
      </c>
      <c r="Z27" s="81">
        <f t="shared" si="13"/>
        <v>51936</v>
      </c>
      <c r="AA27" s="81">
        <f t="shared" si="14"/>
        <v>311618</v>
      </c>
      <c r="AB27" s="81">
        <f t="shared" si="15"/>
        <v>155809</v>
      </c>
      <c r="AC27" s="81">
        <f t="shared" si="16"/>
        <v>103873</v>
      </c>
      <c r="AD27" s="81">
        <f t="shared" si="17"/>
        <v>103873</v>
      </c>
      <c r="AE27" s="81">
        <f t="shared" si="18"/>
        <v>207745</v>
      </c>
      <c r="AF27" s="74"/>
      <c r="AG27" s="81"/>
      <c r="AH27" s="81">
        <f t="shared" si="3"/>
        <v>14982797</v>
      </c>
      <c r="AI27" s="74"/>
    </row>
    <row r="28" spans="1:35" ht="20.25" customHeight="1" x14ac:dyDescent="0.3">
      <c r="A28" s="73" t="s">
        <v>99</v>
      </c>
      <c r="B28" s="74" t="s">
        <v>22</v>
      </c>
      <c r="C28" s="75" t="s">
        <v>317</v>
      </c>
      <c r="D28" s="87" t="s">
        <v>190</v>
      </c>
      <c r="E28" s="204" t="s">
        <v>299</v>
      </c>
      <c r="F28" s="88">
        <v>3.33</v>
      </c>
      <c r="G28" s="88"/>
      <c r="H28" s="97"/>
      <c r="I28" s="75"/>
      <c r="J28" s="90">
        <v>12</v>
      </c>
      <c r="K28" s="80">
        <f t="shared" si="23"/>
        <v>0.39960000000000001</v>
      </c>
      <c r="L28" s="80">
        <f t="shared" si="5"/>
        <v>3.7296</v>
      </c>
      <c r="M28" s="81">
        <f t="shared" si="6"/>
        <v>8727264</v>
      </c>
      <c r="N28" s="82">
        <v>0.5</v>
      </c>
      <c r="O28" s="268">
        <f t="shared" si="2"/>
        <v>1.665</v>
      </c>
      <c r="P28" s="81">
        <f t="shared" si="7"/>
        <v>3896100</v>
      </c>
      <c r="Q28" s="83"/>
      <c r="R28" s="81">
        <f t="shared" si="8"/>
        <v>1170000</v>
      </c>
      <c r="S28" s="84"/>
      <c r="T28" s="81">
        <f t="shared" si="9"/>
        <v>0</v>
      </c>
      <c r="U28" s="84"/>
      <c r="V28" s="85">
        <f t="shared" si="10"/>
        <v>0</v>
      </c>
      <c r="W28" s="85"/>
      <c r="X28" s="81">
        <f t="shared" si="11"/>
        <v>1483635</v>
      </c>
      <c r="Y28" s="81">
        <f t="shared" si="12"/>
        <v>698181</v>
      </c>
      <c r="Z28" s="81">
        <f t="shared" si="13"/>
        <v>43636</v>
      </c>
      <c r="AA28" s="81">
        <f t="shared" si="14"/>
        <v>261818</v>
      </c>
      <c r="AB28" s="81">
        <f t="shared" si="15"/>
        <v>130909</v>
      </c>
      <c r="AC28" s="81">
        <f t="shared" si="16"/>
        <v>87273</v>
      </c>
      <c r="AD28" s="81">
        <f t="shared" si="17"/>
        <v>87273</v>
      </c>
      <c r="AE28" s="81">
        <f t="shared" si="18"/>
        <v>174545</v>
      </c>
      <c r="AF28" s="74"/>
      <c r="AG28" s="81"/>
      <c r="AH28" s="81">
        <f t="shared" si="3"/>
        <v>12877001</v>
      </c>
      <c r="AI28" s="74"/>
    </row>
    <row r="29" spans="1:35" ht="20.25" customHeight="1" x14ac:dyDescent="0.3">
      <c r="A29" s="73" t="s">
        <v>91</v>
      </c>
      <c r="B29" s="74" t="s">
        <v>3</v>
      </c>
      <c r="C29" s="75" t="s">
        <v>318</v>
      </c>
      <c r="D29" s="77" t="s">
        <v>179</v>
      </c>
      <c r="E29" s="205" t="s">
        <v>305</v>
      </c>
      <c r="F29" s="78">
        <v>5.0199999999999996</v>
      </c>
      <c r="G29" s="78"/>
      <c r="H29" s="79"/>
      <c r="I29" s="75"/>
      <c r="J29" s="92">
        <v>25</v>
      </c>
      <c r="K29" s="80">
        <f t="shared" si="23"/>
        <v>1.2549999999999999</v>
      </c>
      <c r="L29" s="80">
        <f t="shared" si="5"/>
        <v>6.2749999999999995</v>
      </c>
      <c r="M29" s="81">
        <f t="shared" si="6"/>
        <v>14683500</v>
      </c>
      <c r="N29" s="82">
        <v>0.5</v>
      </c>
      <c r="O29" s="268">
        <f t="shared" si="2"/>
        <v>2.5099999999999998</v>
      </c>
      <c r="P29" s="81">
        <f t="shared" si="7"/>
        <v>5873400</v>
      </c>
      <c r="Q29" s="83"/>
      <c r="R29" s="81">
        <f t="shared" si="8"/>
        <v>1170000</v>
      </c>
      <c r="S29" s="84"/>
      <c r="T29" s="81">
        <f t="shared" si="9"/>
        <v>0</v>
      </c>
      <c r="U29" s="84"/>
      <c r="V29" s="85">
        <f t="shared" si="10"/>
        <v>0</v>
      </c>
      <c r="W29" s="85"/>
      <c r="X29" s="81">
        <f t="shared" si="11"/>
        <v>2496195</v>
      </c>
      <c r="Y29" s="81">
        <f t="shared" si="12"/>
        <v>1174680</v>
      </c>
      <c r="Z29" s="81">
        <f t="shared" si="13"/>
        <v>73418</v>
      </c>
      <c r="AA29" s="81">
        <f t="shared" si="14"/>
        <v>440505</v>
      </c>
      <c r="AB29" s="81">
        <f t="shared" si="15"/>
        <v>220253</v>
      </c>
      <c r="AC29" s="81">
        <f t="shared" si="16"/>
        <v>146835</v>
      </c>
      <c r="AD29" s="81">
        <f t="shared" si="17"/>
        <v>146835</v>
      </c>
      <c r="AE29" s="81">
        <f t="shared" si="18"/>
        <v>293670</v>
      </c>
      <c r="AF29" s="74"/>
      <c r="AG29" s="81"/>
      <c r="AH29" s="81">
        <f t="shared" si="3"/>
        <v>20185132</v>
      </c>
      <c r="AI29" s="74"/>
    </row>
    <row r="30" spans="1:35" ht="20.25" customHeight="1" x14ac:dyDescent="0.3">
      <c r="A30" s="73" t="s">
        <v>144</v>
      </c>
      <c r="B30" s="74" t="s">
        <v>67</v>
      </c>
      <c r="C30" s="75" t="s">
        <v>318</v>
      </c>
      <c r="D30" s="77" t="s">
        <v>187</v>
      </c>
      <c r="E30" s="144" t="s">
        <v>296</v>
      </c>
      <c r="F30" s="88">
        <v>5.0199999999999996</v>
      </c>
      <c r="G30" s="88"/>
      <c r="H30" s="89"/>
      <c r="I30" s="75"/>
      <c r="J30" s="92">
        <v>27</v>
      </c>
      <c r="K30" s="80">
        <f t="shared" si="23"/>
        <v>1.3553999999999999</v>
      </c>
      <c r="L30" s="80">
        <f t="shared" si="5"/>
        <v>6.3753999999999991</v>
      </c>
      <c r="M30" s="81">
        <f t="shared" si="6"/>
        <v>14918436</v>
      </c>
      <c r="N30" s="82">
        <v>0.5</v>
      </c>
      <c r="O30" s="268">
        <f t="shared" si="2"/>
        <v>2.5099999999999998</v>
      </c>
      <c r="P30" s="81">
        <f t="shared" si="7"/>
        <v>5873400</v>
      </c>
      <c r="Q30" s="83"/>
      <c r="R30" s="81">
        <f t="shared" si="8"/>
        <v>1170000</v>
      </c>
      <c r="S30" s="84"/>
      <c r="T30" s="81">
        <f t="shared" si="9"/>
        <v>0</v>
      </c>
      <c r="U30" s="84"/>
      <c r="V30" s="85">
        <f t="shared" si="10"/>
        <v>0</v>
      </c>
      <c r="W30" s="85"/>
      <c r="X30" s="81">
        <f t="shared" si="11"/>
        <v>2536134</v>
      </c>
      <c r="Y30" s="81">
        <f t="shared" si="12"/>
        <v>1193475</v>
      </c>
      <c r="Z30" s="81">
        <f t="shared" si="13"/>
        <v>74592</v>
      </c>
      <c r="AA30" s="81">
        <f t="shared" si="14"/>
        <v>447553</v>
      </c>
      <c r="AB30" s="81">
        <f t="shared" si="15"/>
        <v>223777</v>
      </c>
      <c r="AC30" s="81">
        <f t="shared" si="16"/>
        <v>149184</v>
      </c>
      <c r="AD30" s="81">
        <f t="shared" si="17"/>
        <v>149184</v>
      </c>
      <c r="AE30" s="81">
        <f t="shared" si="18"/>
        <v>298369</v>
      </c>
      <c r="AF30" s="74"/>
      <c r="AG30" s="81"/>
      <c r="AH30" s="81">
        <f t="shared" si="3"/>
        <v>20395400</v>
      </c>
      <c r="AI30" s="74"/>
    </row>
    <row r="31" spans="1:35" ht="20.25" customHeight="1" x14ac:dyDescent="0.3">
      <c r="A31" s="73" t="s">
        <v>145</v>
      </c>
      <c r="B31" s="74" t="s">
        <v>4</v>
      </c>
      <c r="C31" s="83" t="s">
        <v>5</v>
      </c>
      <c r="D31" s="76" t="s">
        <v>279</v>
      </c>
      <c r="E31" s="144" t="s">
        <v>291</v>
      </c>
      <c r="F31" s="88">
        <v>3.06</v>
      </c>
      <c r="G31" s="88">
        <v>0.2</v>
      </c>
      <c r="H31" s="97"/>
      <c r="I31" s="97"/>
      <c r="J31" s="83"/>
      <c r="K31" s="80">
        <f t="shared" si="23"/>
        <v>0</v>
      </c>
      <c r="L31" s="80">
        <f t="shared" si="5"/>
        <v>3.2600000000000002</v>
      </c>
      <c r="M31" s="81">
        <f t="shared" si="6"/>
        <v>7628400</v>
      </c>
      <c r="N31" s="200">
        <v>0</v>
      </c>
      <c r="O31" s="268">
        <f t="shared" si="2"/>
        <v>0</v>
      </c>
      <c r="P31" s="81">
        <f t="shared" si="7"/>
        <v>0</v>
      </c>
      <c r="Q31" s="83"/>
      <c r="R31" s="81">
        <f t="shared" si="8"/>
        <v>1170000</v>
      </c>
      <c r="S31" s="84">
        <v>0.1</v>
      </c>
      <c r="T31" s="81">
        <f t="shared" si="9"/>
        <v>234000</v>
      </c>
      <c r="U31" s="84">
        <v>0.2</v>
      </c>
      <c r="V31" s="85">
        <f t="shared" si="10"/>
        <v>468000</v>
      </c>
      <c r="W31" s="85"/>
      <c r="X31" s="81">
        <f t="shared" si="11"/>
        <v>1296828</v>
      </c>
      <c r="Y31" s="81">
        <f t="shared" si="12"/>
        <v>610272</v>
      </c>
      <c r="Z31" s="81">
        <f t="shared" si="13"/>
        <v>38142</v>
      </c>
      <c r="AA31" s="81">
        <f t="shared" si="14"/>
        <v>228852</v>
      </c>
      <c r="AB31" s="81">
        <f t="shared" si="15"/>
        <v>114426</v>
      </c>
      <c r="AC31" s="81">
        <f t="shared" si="16"/>
        <v>76284</v>
      </c>
      <c r="AD31" s="81">
        <f t="shared" si="17"/>
        <v>76284</v>
      </c>
      <c r="AE31" s="81">
        <f t="shared" si="18"/>
        <v>152568</v>
      </c>
      <c r="AF31" s="74"/>
      <c r="AG31" s="81"/>
      <c r="AH31" s="81">
        <f t="shared" si="3"/>
        <v>8699418</v>
      </c>
      <c r="AI31" s="74"/>
    </row>
    <row r="32" spans="1:35" ht="20.25" customHeight="1" x14ac:dyDescent="0.3">
      <c r="A32" s="73" t="s">
        <v>146</v>
      </c>
      <c r="B32" s="74" t="s">
        <v>7</v>
      </c>
      <c r="C32" s="75" t="s">
        <v>318</v>
      </c>
      <c r="D32" s="77" t="s">
        <v>186</v>
      </c>
      <c r="E32" s="144" t="s">
        <v>306</v>
      </c>
      <c r="F32" s="78">
        <v>4</v>
      </c>
      <c r="G32" s="235"/>
      <c r="H32" s="74"/>
      <c r="I32" s="95"/>
      <c r="J32" s="92">
        <v>22</v>
      </c>
      <c r="K32" s="80">
        <f t="shared" si="23"/>
        <v>0.88</v>
      </c>
      <c r="L32" s="80">
        <f t="shared" si="5"/>
        <v>4.88</v>
      </c>
      <c r="M32" s="81">
        <f t="shared" si="6"/>
        <v>11419200</v>
      </c>
      <c r="N32" s="82">
        <v>0.5</v>
      </c>
      <c r="O32" s="268">
        <f t="shared" si="2"/>
        <v>2</v>
      </c>
      <c r="P32" s="81">
        <f t="shared" si="7"/>
        <v>4680000</v>
      </c>
      <c r="Q32" s="83"/>
      <c r="R32" s="81">
        <f t="shared" si="8"/>
        <v>1170000</v>
      </c>
      <c r="S32" s="84"/>
      <c r="T32" s="81">
        <f t="shared" si="9"/>
        <v>0</v>
      </c>
      <c r="U32" s="84"/>
      <c r="V32" s="85">
        <f t="shared" si="10"/>
        <v>0</v>
      </c>
      <c r="W32" s="85">
        <v>0</v>
      </c>
      <c r="X32" s="81">
        <f t="shared" si="11"/>
        <v>1941264</v>
      </c>
      <c r="Y32" s="81">
        <f t="shared" si="12"/>
        <v>913536</v>
      </c>
      <c r="Z32" s="81">
        <f t="shared" si="13"/>
        <v>57096</v>
      </c>
      <c r="AA32" s="81">
        <f t="shared" si="14"/>
        <v>342576</v>
      </c>
      <c r="AB32" s="81">
        <f t="shared" si="15"/>
        <v>171288</v>
      </c>
      <c r="AC32" s="81">
        <f t="shared" si="16"/>
        <v>114192</v>
      </c>
      <c r="AD32" s="81">
        <f t="shared" si="17"/>
        <v>114192</v>
      </c>
      <c r="AE32" s="81">
        <f t="shared" si="18"/>
        <v>228384</v>
      </c>
      <c r="AF32" s="74"/>
      <c r="AG32" s="81"/>
      <c r="AH32" s="81">
        <f t="shared" si="3"/>
        <v>16070184</v>
      </c>
      <c r="AI32" s="74"/>
    </row>
    <row r="33" spans="1:35" ht="20.25" customHeight="1" x14ac:dyDescent="0.3">
      <c r="A33" s="73" t="s">
        <v>147</v>
      </c>
      <c r="B33" s="74" t="s">
        <v>8</v>
      </c>
      <c r="C33" s="75" t="s">
        <v>318</v>
      </c>
      <c r="D33" s="77" t="s">
        <v>187</v>
      </c>
      <c r="E33" s="206" t="s">
        <v>307</v>
      </c>
      <c r="F33" s="78">
        <v>5.0199999999999996</v>
      </c>
      <c r="G33" s="235"/>
      <c r="H33" s="74"/>
      <c r="I33" s="95"/>
      <c r="J33" s="90">
        <v>29</v>
      </c>
      <c r="K33" s="80">
        <f t="shared" si="23"/>
        <v>1.4558</v>
      </c>
      <c r="L33" s="80">
        <f t="shared" si="5"/>
        <v>6.4757999999999996</v>
      </c>
      <c r="M33" s="81">
        <f t="shared" si="6"/>
        <v>15153372</v>
      </c>
      <c r="N33" s="82">
        <v>0.5</v>
      </c>
      <c r="O33" s="268">
        <f t="shared" si="2"/>
        <v>2.5099999999999998</v>
      </c>
      <c r="P33" s="81">
        <f t="shared" si="7"/>
        <v>5873400</v>
      </c>
      <c r="Q33" s="83"/>
      <c r="R33" s="81">
        <f t="shared" si="8"/>
        <v>1170000</v>
      </c>
      <c r="S33" s="84"/>
      <c r="T33" s="81">
        <f t="shared" si="9"/>
        <v>0</v>
      </c>
      <c r="U33" s="84"/>
      <c r="V33" s="85">
        <f t="shared" si="10"/>
        <v>0</v>
      </c>
      <c r="W33" s="85"/>
      <c r="X33" s="81">
        <f t="shared" si="11"/>
        <v>2576073</v>
      </c>
      <c r="Y33" s="81">
        <f t="shared" si="12"/>
        <v>1212270</v>
      </c>
      <c r="Z33" s="81">
        <f t="shared" si="13"/>
        <v>75767</v>
      </c>
      <c r="AA33" s="81">
        <f t="shared" si="14"/>
        <v>454601</v>
      </c>
      <c r="AB33" s="81">
        <f t="shared" si="15"/>
        <v>227301</v>
      </c>
      <c r="AC33" s="81">
        <f t="shared" si="16"/>
        <v>151534</v>
      </c>
      <c r="AD33" s="81">
        <f t="shared" si="17"/>
        <v>151534</v>
      </c>
      <c r="AE33" s="81">
        <f t="shared" si="18"/>
        <v>303067</v>
      </c>
      <c r="AF33" s="74"/>
      <c r="AG33" s="81"/>
      <c r="AH33" s="81">
        <f t="shared" si="3"/>
        <v>20605667</v>
      </c>
      <c r="AI33" s="74"/>
    </row>
    <row r="34" spans="1:35" ht="20.25" customHeight="1" x14ac:dyDescent="0.3">
      <c r="A34" s="73" t="s">
        <v>148</v>
      </c>
      <c r="B34" s="74" t="s">
        <v>9</v>
      </c>
      <c r="C34" s="75" t="s">
        <v>318</v>
      </c>
      <c r="D34" s="77" t="s">
        <v>184</v>
      </c>
      <c r="E34" s="205" t="s">
        <v>308</v>
      </c>
      <c r="F34" s="78">
        <v>5.0199999999999996</v>
      </c>
      <c r="G34" s="235"/>
      <c r="H34" s="74"/>
      <c r="I34" s="95"/>
      <c r="J34" s="90">
        <v>26</v>
      </c>
      <c r="K34" s="80">
        <f t="shared" si="23"/>
        <v>1.3051999999999999</v>
      </c>
      <c r="L34" s="80">
        <f t="shared" si="5"/>
        <v>6.3251999999999997</v>
      </c>
      <c r="M34" s="81">
        <f t="shared" si="6"/>
        <v>14800968</v>
      </c>
      <c r="N34" s="82">
        <v>0.5</v>
      </c>
      <c r="O34" s="268">
        <f t="shared" si="2"/>
        <v>2.5099999999999998</v>
      </c>
      <c r="P34" s="81">
        <f t="shared" si="7"/>
        <v>5873400</v>
      </c>
      <c r="Q34" s="83"/>
      <c r="R34" s="81">
        <f t="shared" si="8"/>
        <v>1170000</v>
      </c>
      <c r="S34" s="84"/>
      <c r="T34" s="81">
        <f t="shared" si="9"/>
        <v>0</v>
      </c>
      <c r="U34" s="84"/>
      <c r="V34" s="85">
        <f t="shared" si="10"/>
        <v>0</v>
      </c>
      <c r="W34" s="85"/>
      <c r="X34" s="81">
        <f t="shared" si="11"/>
        <v>2516165</v>
      </c>
      <c r="Y34" s="81">
        <f t="shared" si="12"/>
        <v>1184077</v>
      </c>
      <c r="Z34" s="81">
        <f t="shared" si="13"/>
        <v>74005</v>
      </c>
      <c r="AA34" s="81">
        <f t="shared" si="14"/>
        <v>444029</v>
      </c>
      <c r="AB34" s="81">
        <f t="shared" si="15"/>
        <v>222015</v>
      </c>
      <c r="AC34" s="81">
        <f t="shared" si="16"/>
        <v>148010</v>
      </c>
      <c r="AD34" s="81">
        <f t="shared" si="17"/>
        <v>148010</v>
      </c>
      <c r="AE34" s="81">
        <f t="shared" si="18"/>
        <v>296019</v>
      </c>
      <c r="AF34" s="74"/>
      <c r="AG34" s="81"/>
      <c r="AH34" s="81">
        <f t="shared" si="3"/>
        <v>20290266</v>
      </c>
      <c r="AI34" s="74"/>
    </row>
    <row r="35" spans="1:35" ht="20.25" customHeight="1" x14ac:dyDescent="0.3">
      <c r="A35" s="73" t="s">
        <v>149</v>
      </c>
      <c r="B35" s="74" t="s">
        <v>11</v>
      </c>
      <c r="C35" s="75" t="s">
        <v>317</v>
      </c>
      <c r="D35" s="87" t="s">
        <v>191</v>
      </c>
      <c r="E35" s="204" t="s">
        <v>259</v>
      </c>
      <c r="F35" s="236">
        <v>3</v>
      </c>
      <c r="G35" s="236"/>
      <c r="H35" s="237"/>
      <c r="I35" s="237"/>
      <c r="J35" s="238">
        <v>8</v>
      </c>
      <c r="K35" s="80">
        <f t="shared" ref="K35:K36" si="24">ROUND((F35+G35+I35)*J35/100,4)</f>
        <v>0.24</v>
      </c>
      <c r="L35" s="80">
        <f t="shared" si="5"/>
        <v>3.24</v>
      </c>
      <c r="M35" s="81">
        <f t="shared" si="6"/>
        <v>7581600</v>
      </c>
      <c r="N35" s="82">
        <v>0.5</v>
      </c>
      <c r="O35" s="268">
        <f t="shared" si="2"/>
        <v>1.5</v>
      </c>
      <c r="P35" s="81">
        <f t="shared" si="7"/>
        <v>3510000</v>
      </c>
      <c r="Q35" s="83"/>
      <c r="R35" s="81">
        <f t="shared" si="8"/>
        <v>1170000</v>
      </c>
      <c r="S35" s="84"/>
      <c r="T35" s="81">
        <f t="shared" si="9"/>
        <v>0</v>
      </c>
      <c r="U35" s="84"/>
      <c r="V35" s="85">
        <f t="shared" si="10"/>
        <v>0</v>
      </c>
      <c r="W35" s="85"/>
      <c r="X35" s="81">
        <f t="shared" si="11"/>
        <v>1288872</v>
      </c>
      <c r="Y35" s="81">
        <f t="shared" si="12"/>
        <v>606528</v>
      </c>
      <c r="Z35" s="81">
        <f t="shared" si="13"/>
        <v>37908</v>
      </c>
      <c r="AA35" s="81">
        <f t="shared" si="14"/>
        <v>227448</v>
      </c>
      <c r="AB35" s="81">
        <f t="shared" si="15"/>
        <v>113724</v>
      </c>
      <c r="AC35" s="81">
        <f t="shared" si="16"/>
        <v>75816</v>
      </c>
      <c r="AD35" s="81">
        <f t="shared" si="17"/>
        <v>75816</v>
      </c>
      <c r="AE35" s="81">
        <f t="shared" si="18"/>
        <v>151632</v>
      </c>
      <c r="AF35" s="74"/>
      <c r="AG35" s="81"/>
      <c r="AH35" s="81">
        <f t="shared" si="3"/>
        <v>11465532</v>
      </c>
      <c r="AI35" s="74"/>
    </row>
    <row r="36" spans="1:35" ht="20.25" customHeight="1" x14ac:dyDescent="0.3">
      <c r="A36" s="73" t="s">
        <v>150</v>
      </c>
      <c r="B36" s="74" t="s">
        <v>27</v>
      </c>
      <c r="C36" s="75" t="s">
        <v>317</v>
      </c>
      <c r="D36" s="77" t="s">
        <v>190</v>
      </c>
      <c r="E36" s="144" t="s">
        <v>309</v>
      </c>
      <c r="F36" s="88">
        <v>3.33</v>
      </c>
      <c r="G36" s="239"/>
      <c r="H36" s="231"/>
      <c r="I36" s="95"/>
      <c r="J36" s="92">
        <v>12</v>
      </c>
      <c r="K36" s="80">
        <f t="shared" si="24"/>
        <v>0.39960000000000001</v>
      </c>
      <c r="L36" s="80">
        <f t="shared" si="5"/>
        <v>3.7296</v>
      </c>
      <c r="M36" s="81">
        <f t="shared" si="6"/>
        <v>8727264</v>
      </c>
      <c r="N36" s="82">
        <v>0.5</v>
      </c>
      <c r="O36" s="268">
        <f t="shared" si="2"/>
        <v>1.665</v>
      </c>
      <c r="P36" s="81">
        <f t="shared" si="7"/>
        <v>3896100</v>
      </c>
      <c r="Q36" s="83"/>
      <c r="R36" s="81">
        <f t="shared" si="8"/>
        <v>1170000</v>
      </c>
      <c r="S36" s="84"/>
      <c r="T36" s="81">
        <f t="shared" si="9"/>
        <v>0</v>
      </c>
      <c r="U36" s="84"/>
      <c r="V36" s="85">
        <f t="shared" si="10"/>
        <v>0</v>
      </c>
      <c r="W36" s="85"/>
      <c r="X36" s="81">
        <f t="shared" si="11"/>
        <v>1483635</v>
      </c>
      <c r="Y36" s="81">
        <f t="shared" si="12"/>
        <v>698181</v>
      </c>
      <c r="Z36" s="81">
        <f t="shared" si="13"/>
        <v>43636</v>
      </c>
      <c r="AA36" s="81">
        <f t="shared" si="14"/>
        <v>261818</v>
      </c>
      <c r="AB36" s="81">
        <f t="shared" si="15"/>
        <v>130909</v>
      </c>
      <c r="AC36" s="81">
        <f t="shared" si="16"/>
        <v>87273</v>
      </c>
      <c r="AD36" s="81">
        <f t="shared" si="17"/>
        <v>87273</v>
      </c>
      <c r="AE36" s="81">
        <f t="shared" si="18"/>
        <v>174545</v>
      </c>
      <c r="AF36" s="74"/>
      <c r="AG36" s="81"/>
      <c r="AH36" s="81">
        <f t="shared" si="3"/>
        <v>12877001</v>
      </c>
      <c r="AI36" s="74"/>
    </row>
    <row r="37" spans="1:35" ht="20.25" customHeight="1" x14ac:dyDescent="0.3">
      <c r="A37" s="73" t="s">
        <v>151</v>
      </c>
      <c r="B37" s="74" t="s">
        <v>77</v>
      </c>
      <c r="C37" s="75" t="s">
        <v>318</v>
      </c>
      <c r="D37" s="77" t="s">
        <v>203</v>
      </c>
      <c r="E37" s="144" t="s">
        <v>310</v>
      </c>
      <c r="F37" s="88">
        <v>5.0199999999999996</v>
      </c>
      <c r="G37" s="239"/>
      <c r="H37" s="231"/>
      <c r="I37" s="95"/>
      <c r="J37" s="92">
        <v>29</v>
      </c>
      <c r="K37" s="80">
        <f t="shared" si="23"/>
        <v>1.4558</v>
      </c>
      <c r="L37" s="80">
        <f t="shared" si="5"/>
        <v>6.4757999999999996</v>
      </c>
      <c r="M37" s="81">
        <f t="shared" si="6"/>
        <v>15153372</v>
      </c>
      <c r="N37" s="82">
        <v>0.5</v>
      </c>
      <c r="O37" s="268">
        <f t="shared" si="2"/>
        <v>2.5099999999999998</v>
      </c>
      <c r="P37" s="81">
        <f t="shared" si="7"/>
        <v>5873400</v>
      </c>
      <c r="Q37" s="83"/>
      <c r="R37" s="81">
        <f t="shared" si="8"/>
        <v>1170000</v>
      </c>
      <c r="S37" s="84"/>
      <c r="T37" s="81">
        <f t="shared" si="9"/>
        <v>0</v>
      </c>
      <c r="U37" s="84"/>
      <c r="V37" s="85">
        <f t="shared" si="10"/>
        <v>0</v>
      </c>
      <c r="W37" s="85"/>
      <c r="X37" s="81">
        <f t="shared" si="11"/>
        <v>2576073</v>
      </c>
      <c r="Y37" s="81">
        <f t="shared" si="12"/>
        <v>1212270</v>
      </c>
      <c r="Z37" s="81">
        <f t="shared" si="13"/>
        <v>75767</v>
      </c>
      <c r="AA37" s="81">
        <f t="shared" si="14"/>
        <v>454601</v>
      </c>
      <c r="AB37" s="81">
        <f t="shared" si="15"/>
        <v>227301</v>
      </c>
      <c r="AC37" s="81">
        <f t="shared" si="16"/>
        <v>151534</v>
      </c>
      <c r="AD37" s="81">
        <f t="shared" si="17"/>
        <v>151534</v>
      </c>
      <c r="AE37" s="81">
        <f t="shared" si="18"/>
        <v>303067</v>
      </c>
      <c r="AF37" s="74"/>
      <c r="AG37" s="81"/>
      <c r="AH37" s="81">
        <f t="shared" si="3"/>
        <v>20605667</v>
      </c>
      <c r="AI37" s="74"/>
    </row>
    <row r="38" spans="1:35" ht="20.25" customHeight="1" x14ac:dyDescent="0.3">
      <c r="A38" s="73" t="s">
        <v>152</v>
      </c>
      <c r="B38" s="74" t="s">
        <v>71</v>
      </c>
      <c r="C38" s="75" t="s">
        <v>318</v>
      </c>
      <c r="D38" s="76" t="s">
        <v>195</v>
      </c>
      <c r="E38" s="144" t="s">
        <v>311</v>
      </c>
      <c r="F38" s="88">
        <v>4.68</v>
      </c>
      <c r="G38" s="239"/>
      <c r="H38" s="231"/>
      <c r="I38" s="95"/>
      <c r="J38" s="92">
        <v>25</v>
      </c>
      <c r="K38" s="80">
        <f t="shared" si="23"/>
        <v>1.17</v>
      </c>
      <c r="L38" s="80">
        <f t="shared" si="5"/>
        <v>5.85</v>
      </c>
      <c r="M38" s="81">
        <f t="shared" si="6"/>
        <v>13689000</v>
      </c>
      <c r="N38" s="82">
        <v>0.5</v>
      </c>
      <c r="O38" s="268">
        <f t="shared" si="2"/>
        <v>2.34</v>
      </c>
      <c r="P38" s="81">
        <f t="shared" si="7"/>
        <v>5475600</v>
      </c>
      <c r="Q38" s="83"/>
      <c r="R38" s="81">
        <f t="shared" si="8"/>
        <v>1170000</v>
      </c>
      <c r="S38" s="84"/>
      <c r="T38" s="81">
        <f t="shared" si="9"/>
        <v>0</v>
      </c>
      <c r="U38" s="84"/>
      <c r="V38" s="85">
        <f t="shared" si="10"/>
        <v>0</v>
      </c>
      <c r="W38" s="85"/>
      <c r="X38" s="81">
        <f t="shared" si="11"/>
        <v>2327130</v>
      </c>
      <c r="Y38" s="81">
        <f t="shared" si="12"/>
        <v>1095120</v>
      </c>
      <c r="Z38" s="81">
        <f t="shared" si="13"/>
        <v>68445</v>
      </c>
      <c r="AA38" s="81">
        <f t="shared" si="14"/>
        <v>410670</v>
      </c>
      <c r="AB38" s="81">
        <f t="shared" si="15"/>
        <v>205335</v>
      </c>
      <c r="AC38" s="81">
        <f t="shared" si="16"/>
        <v>136890</v>
      </c>
      <c r="AD38" s="81">
        <f t="shared" si="17"/>
        <v>136890</v>
      </c>
      <c r="AE38" s="81">
        <f t="shared" si="18"/>
        <v>273780</v>
      </c>
      <c r="AF38" s="74"/>
      <c r="AG38" s="81"/>
      <c r="AH38" s="81">
        <f t="shared" si="3"/>
        <v>18897255</v>
      </c>
      <c r="AI38" s="74"/>
    </row>
    <row r="39" spans="1:35" ht="20.25" customHeight="1" x14ac:dyDescent="0.3">
      <c r="A39" s="73" t="s">
        <v>153</v>
      </c>
      <c r="B39" s="74" t="s">
        <v>72</v>
      </c>
      <c r="C39" s="75" t="s">
        <v>318</v>
      </c>
      <c r="D39" s="77" t="s">
        <v>181</v>
      </c>
      <c r="E39" s="144" t="s">
        <v>299</v>
      </c>
      <c r="F39" s="88">
        <v>4.34</v>
      </c>
      <c r="G39" s="240">
        <v>0.15</v>
      </c>
      <c r="H39" s="231"/>
      <c r="I39" s="95"/>
      <c r="J39" s="92">
        <v>24</v>
      </c>
      <c r="K39" s="80">
        <f t="shared" si="23"/>
        <v>1.0775999999999999</v>
      </c>
      <c r="L39" s="80">
        <f t="shared" si="5"/>
        <v>5.5676000000000005</v>
      </c>
      <c r="M39" s="81">
        <f t="shared" si="6"/>
        <v>13028184</v>
      </c>
      <c r="N39" s="82">
        <v>0.5</v>
      </c>
      <c r="O39" s="268">
        <f t="shared" si="2"/>
        <v>2.2450000000000001</v>
      </c>
      <c r="P39" s="81">
        <f t="shared" si="7"/>
        <v>5253300</v>
      </c>
      <c r="Q39" s="83"/>
      <c r="R39" s="81">
        <f t="shared" si="8"/>
        <v>1170000</v>
      </c>
      <c r="S39" s="84"/>
      <c r="T39" s="81">
        <f t="shared" si="9"/>
        <v>0</v>
      </c>
      <c r="U39" s="84"/>
      <c r="V39" s="85">
        <f t="shared" si="10"/>
        <v>0</v>
      </c>
      <c r="W39" s="85"/>
      <c r="X39" s="81">
        <f t="shared" si="11"/>
        <v>2214791</v>
      </c>
      <c r="Y39" s="81">
        <f t="shared" si="12"/>
        <v>1042255</v>
      </c>
      <c r="Z39" s="81">
        <f t="shared" si="13"/>
        <v>65141</v>
      </c>
      <c r="AA39" s="81">
        <f t="shared" si="14"/>
        <v>390846</v>
      </c>
      <c r="AB39" s="81">
        <f t="shared" si="15"/>
        <v>195423</v>
      </c>
      <c r="AC39" s="81">
        <f t="shared" si="16"/>
        <v>130282</v>
      </c>
      <c r="AD39" s="81">
        <f t="shared" si="17"/>
        <v>130282</v>
      </c>
      <c r="AE39" s="81">
        <f t="shared" si="18"/>
        <v>260564</v>
      </c>
      <c r="AF39" s="74"/>
      <c r="AG39" s="81"/>
      <c r="AH39" s="81">
        <f t="shared" si="3"/>
        <v>18083524</v>
      </c>
      <c r="AI39" s="74"/>
    </row>
    <row r="40" spans="1:35" ht="20.25" customHeight="1" x14ac:dyDescent="0.3">
      <c r="A40" s="73" t="s">
        <v>154</v>
      </c>
      <c r="B40" s="74" t="s">
        <v>12</v>
      </c>
      <c r="C40" s="83" t="s">
        <v>13</v>
      </c>
      <c r="D40" s="77" t="s">
        <v>191</v>
      </c>
      <c r="E40" s="144" t="s">
        <v>259</v>
      </c>
      <c r="F40" s="88">
        <v>2.72</v>
      </c>
      <c r="G40" s="88"/>
      <c r="H40" s="97"/>
      <c r="I40" s="97"/>
      <c r="J40" s="83"/>
      <c r="K40" s="80">
        <f t="shared" si="23"/>
        <v>0</v>
      </c>
      <c r="L40" s="80">
        <f t="shared" si="5"/>
        <v>2.72</v>
      </c>
      <c r="M40" s="81">
        <f t="shared" si="6"/>
        <v>6364800</v>
      </c>
      <c r="N40" s="200">
        <v>0</v>
      </c>
      <c r="O40" s="268">
        <f t="shared" si="2"/>
        <v>0</v>
      </c>
      <c r="P40" s="81">
        <f t="shared" si="7"/>
        <v>0</v>
      </c>
      <c r="Q40" s="83"/>
      <c r="R40" s="81">
        <f t="shared" si="8"/>
        <v>1170000</v>
      </c>
      <c r="S40" s="84"/>
      <c r="T40" s="81">
        <f t="shared" si="9"/>
        <v>0</v>
      </c>
      <c r="U40" s="84">
        <v>0.2</v>
      </c>
      <c r="V40" s="85">
        <f t="shared" si="10"/>
        <v>468000</v>
      </c>
      <c r="W40" s="85"/>
      <c r="X40" s="81">
        <f t="shared" si="11"/>
        <v>1082016</v>
      </c>
      <c r="Y40" s="81">
        <f t="shared" si="12"/>
        <v>509184</v>
      </c>
      <c r="Z40" s="81">
        <f t="shared" si="13"/>
        <v>31824</v>
      </c>
      <c r="AA40" s="81">
        <f t="shared" si="14"/>
        <v>190944</v>
      </c>
      <c r="AB40" s="81">
        <f t="shared" si="15"/>
        <v>95472</v>
      </c>
      <c r="AC40" s="81">
        <f t="shared" si="16"/>
        <v>63648</v>
      </c>
      <c r="AD40" s="81">
        <f t="shared" si="17"/>
        <v>63648</v>
      </c>
      <c r="AE40" s="81">
        <f t="shared" si="18"/>
        <v>127296</v>
      </c>
      <c r="AF40" s="74"/>
      <c r="AG40" s="81"/>
      <c r="AH40" s="81">
        <f t="shared" si="3"/>
        <v>7334496</v>
      </c>
      <c r="AI40" s="74"/>
    </row>
    <row r="41" spans="1:35" ht="20.25" customHeight="1" x14ac:dyDescent="0.3">
      <c r="A41" s="73" t="s">
        <v>155</v>
      </c>
      <c r="B41" s="98" t="s">
        <v>96</v>
      </c>
      <c r="C41" s="75" t="s">
        <v>318</v>
      </c>
      <c r="D41" s="87" t="s">
        <v>192</v>
      </c>
      <c r="E41" s="204" t="s">
        <v>312</v>
      </c>
      <c r="F41" s="99">
        <v>4.68</v>
      </c>
      <c r="G41" s="99">
        <v>0.2</v>
      </c>
      <c r="H41" s="241"/>
      <c r="I41" s="242"/>
      <c r="J41" s="243" t="s">
        <v>145</v>
      </c>
      <c r="K41" s="80">
        <f t="shared" si="23"/>
        <v>1.1224000000000001</v>
      </c>
      <c r="L41" s="80">
        <f t="shared" ref="L41:L57" si="25">F41+G41+I41+K41</f>
        <v>6.0023999999999997</v>
      </c>
      <c r="M41" s="81">
        <f t="shared" si="6"/>
        <v>14045616</v>
      </c>
      <c r="N41" s="82">
        <v>0.5</v>
      </c>
      <c r="O41" s="268">
        <f t="shared" ref="O41:O57" si="26">(F41+G41+I41)*N41</f>
        <v>2.44</v>
      </c>
      <c r="P41" s="81">
        <f t="shared" si="7"/>
        <v>5709600</v>
      </c>
      <c r="Q41" s="83"/>
      <c r="R41" s="81">
        <f t="shared" si="8"/>
        <v>1170000</v>
      </c>
      <c r="S41" s="100"/>
      <c r="T41" s="81">
        <f t="shared" si="9"/>
        <v>0</v>
      </c>
      <c r="U41" s="100"/>
      <c r="V41" s="85">
        <f t="shared" si="10"/>
        <v>0</v>
      </c>
      <c r="W41" s="85"/>
      <c r="X41" s="81">
        <f t="shared" si="11"/>
        <v>2387755</v>
      </c>
      <c r="Y41" s="81">
        <f t="shared" si="12"/>
        <v>1123649</v>
      </c>
      <c r="Z41" s="81">
        <f t="shared" si="13"/>
        <v>70228</v>
      </c>
      <c r="AA41" s="81">
        <f t="shared" si="14"/>
        <v>421368</v>
      </c>
      <c r="AB41" s="81">
        <f t="shared" si="15"/>
        <v>210684</v>
      </c>
      <c r="AC41" s="81">
        <f t="shared" si="16"/>
        <v>140456</v>
      </c>
      <c r="AD41" s="81">
        <f t="shared" si="17"/>
        <v>140456</v>
      </c>
      <c r="AE41" s="81">
        <f t="shared" si="18"/>
        <v>280912</v>
      </c>
      <c r="AF41" s="74"/>
      <c r="AG41" s="81"/>
      <c r="AH41" s="81">
        <f t="shared" si="3"/>
        <v>19450427</v>
      </c>
      <c r="AI41" s="97"/>
    </row>
    <row r="42" spans="1:35" ht="20.25" customHeight="1" x14ac:dyDescent="0.3">
      <c r="A42" s="73" t="s">
        <v>156</v>
      </c>
      <c r="B42" s="101" t="s">
        <v>98</v>
      </c>
      <c r="C42" s="75" t="s">
        <v>318</v>
      </c>
      <c r="D42" s="87" t="s">
        <v>192</v>
      </c>
      <c r="E42" s="204" t="s">
        <v>313</v>
      </c>
      <c r="F42" s="99">
        <v>5.0199999999999996</v>
      </c>
      <c r="G42" s="99">
        <v>0.2</v>
      </c>
      <c r="H42" s="102"/>
      <c r="I42" s="103"/>
      <c r="J42" s="243" t="s">
        <v>146</v>
      </c>
      <c r="K42" s="80">
        <f t="shared" si="23"/>
        <v>1.2527999999999999</v>
      </c>
      <c r="L42" s="80">
        <f t="shared" si="25"/>
        <v>6.4727999999999994</v>
      </c>
      <c r="M42" s="81">
        <f t="shared" si="6"/>
        <v>15146352</v>
      </c>
      <c r="N42" s="82">
        <v>0.5</v>
      </c>
      <c r="O42" s="268">
        <f t="shared" si="26"/>
        <v>2.61</v>
      </c>
      <c r="P42" s="81">
        <f t="shared" si="7"/>
        <v>6107400</v>
      </c>
      <c r="Q42" s="83"/>
      <c r="R42" s="81">
        <f t="shared" si="8"/>
        <v>1170000</v>
      </c>
      <c r="S42" s="100"/>
      <c r="T42" s="81">
        <f t="shared" si="9"/>
        <v>0</v>
      </c>
      <c r="U42" s="100"/>
      <c r="V42" s="85">
        <f t="shared" si="10"/>
        <v>0</v>
      </c>
      <c r="W42" s="85"/>
      <c r="X42" s="81">
        <f t="shared" si="11"/>
        <v>2574880</v>
      </c>
      <c r="Y42" s="81">
        <f t="shared" si="12"/>
        <v>1211708</v>
      </c>
      <c r="Z42" s="81">
        <f t="shared" si="13"/>
        <v>75732</v>
      </c>
      <c r="AA42" s="81">
        <f t="shared" si="14"/>
        <v>454391</v>
      </c>
      <c r="AB42" s="81">
        <f t="shared" si="15"/>
        <v>227195</v>
      </c>
      <c r="AC42" s="81">
        <f t="shared" si="16"/>
        <v>151464</v>
      </c>
      <c r="AD42" s="81">
        <f t="shared" si="17"/>
        <v>151464</v>
      </c>
      <c r="AE42" s="81">
        <f t="shared" si="18"/>
        <v>302927</v>
      </c>
      <c r="AF42" s="74"/>
      <c r="AG42" s="81"/>
      <c r="AH42" s="81">
        <f t="shared" si="3"/>
        <v>20833385</v>
      </c>
      <c r="AI42" s="97"/>
    </row>
    <row r="43" spans="1:35" ht="20.25" customHeight="1" x14ac:dyDescent="0.3">
      <c r="A43" s="73" t="s">
        <v>157</v>
      </c>
      <c r="B43" s="101" t="s">
        <v>100</v>
      </c>
      <c r="C43" s="75" t="s">
        <v>318</v>
      </c>
      <c r="D43" s="87" t="s">
        <v>181</v>
      </c>
      <c r="E43" s="204" t="s">
        <v>306</v>
      </c>
      <c r="F43" s="99">
        <v>4.34</v>
      </c>
      <c r="G43" s="99"/>
      <c r="H43" s="102"/>
      <c r="I43" s="103"/>
      <c r="J43" s="243" t="s">
        <v>146</v>
      </c>
      <c r="K43" s="80">
        <f t="shared" si="23"/>
        <v>1.0416000000000001</v>
      </c>
      <c r="L43" s="80">
        <f t="shared" si="25"/>
        <v>5.3815999999999997</v>
      </c>
      <c r="M43" s="81">
        <f t="shared" si="6"/>
        <v>12592944</v>
      </c>
      <c r="N43" s="82">
        <v>0.5</v>
      </c>
      <c r="O43" s="268">
        <f t="shared" si="26"/>
        <v>2.17</v>
      </c>
      <c r="P43" s="81">
        <f t="shared" si="7"/>
        <v>5077800</v>
      </c>
      <c r="Q43" s="83"/>
      <c r="R43" s="81">
        <f t="shared" si="8"/>
        <v>1170000</v>
      </c>
      <c r="S43" s="100"/>
      <c r="T43" s="81">
        <f t="shared" si="9"/>
        <v>0</v>
      </c>
      <c r="U43" s="100"/>
      <c r="V43" s="85">
        <f t="shared" si="10"/>
        <v>0</v>
      </c>
      <c r="W43" s="85"/>
      <c r="X43" s="81">
        <f t="shared" si="11"/>
        <v>2140800</v>
      </c>
      <c r="Y43" s="81">
        <f t="shared" si="12"/>
        <v>1007436</v>
      </c>
      <c r="Z43" s="81">
        <f t="shared" si="13"/>
        <v>62965</v>
      </c>
      <c r="AA43" s="81">
        <f t="shared" si="14"/>
        <v>377788</v>
      </c>
      <c r="AB43" s="81">
        <f t="shared" si="15"/>
        <v>188894</v>
      </c>
      <c r="AC43" s="81">
        <f t="shared" si="16"/>
        <v>125929</v>
      </c>
      <c r="AD43" s="81">
        <f t="shared" si="17"/>
        <v>125929</v>
      </c>
      <c r="AE43" s="81">
        <f t="shared" si="18"/>
        <v>251859</v>
      </c>
      <c r="AF43" s="74"/>
      <c r="AG43" s="81"/>
      <c r="AH43" s="81">
        <f t="shared" si="3"/>
        <v>17518485</v>
      </c>
      <c r="AI43" s="97"/>
    </row>
    <row r="44" spans="1:35" ht="20.25" customHeight="1" x14ac:dyDescent="0.3">
      <c r="A44" s="73" t="s">
        <v>158</v>
      </c>
      <c r="B44" s="101" t="s">
        <v>201</v>
      </c>
      <c r="C44" s="75" t="s">
        <v>317</v>
      </c>
      <c r="D44" s="87" t="s">
        <v>194</v>
      </c>
      <c r="E44" s="204" t="s">
        <v>319</v>
      </c>
      <c r="F44" s="99">
        <v>3.66</v>
      </c>
      <c r="G44" s="99">
        <v>0.15</v>
      </c>
      <c r="H44" s="102"/>
      <c r="I44" s="103"/>
      <c r="J44" s="243" t="s">
        <v>142</v>
      </c>
      <c r="K44" s="80">
        <f t="shared" si="23"/>
        <v>0.53339999999999999</v>
      </c>
      <c r="L44" s="80">
        <f t="shared" si="25"/>
        <v>4.3433999999999999</v>
      </c>
      <c r="M44" s="81">
        <f t="shared" si="6"/>
        <v>10163556</v>
      </c>
      <c r="N44" s="82">
        <v>0.5</v>
      </c>
      <c r="O44" s="268">
        <f t="shared" si="26"/>
        <v>1.905</v>
      </c>
      <c r="P44" s="81">
        <f t="shared" si="7"/>
        <v>4457700</v>
      </c>
      <c r="Q44" s="83"/>
      <c r="R44" s="81">
        <f t="shared" si="8"/>
        <v>1170000</v>
      </c>
      <c r="S44" s="100"/>
      <c r="T44" s="81">
        <f t="shared" si="9"/>
        <v>0</v>
      </c>
      <c r="U44" s="100"/>
      <c r="V44" s="85">
        <f t="shared" si="10"/>
        <v>0</v>
      </c>
      <c r="W44" s="85"/>
      <c r="X44" s="81">
        <f t="shared" si="11"/>
        <v>1727805</v>
      </c>
      <c r="Y44" s="81">
        <f t="shared" si="12"/>
        <v>813084</v>
      </c>
      <c r="Z44" s="81">
        <f t="shared" si="13"/>
        <v>50818</v>
      </c>
      <c r="AA44" s="81">
        <f t="shared" si="14"/>
        <v>304907</v>
      </c>
      <c r="AB44" s="81">
        <f t="shared" si="15"/>
        <v>152453</v>
      </c>
      <c r="AC44" s="81">
        <f t="shared" si="16"/>
        <v>101636</v>
      </c>
      <c r="AD44" s="81">
        <f t="shared" si="17"/>
        <v>101636</v>
      </c>
      <c r="AE44" s="81">
        <f t="shared" si="18"/>
        <v>203271</v>
      </c>
      <c r="AF44" s="74"/>
      <c r="AG44" s="81"/>
      <c r="AH44" s="81">
        <f t="shared" si="3"/>
        <v>14724083</v>
      </c>
      <c r="AI44" s="97"/>
    </row>
    <row r="45" spans="1:35" ht="20.25" customHeight="1" x14ac:dyDescent="0.3">
      <c r="A45" s="73" t="s">
        <v>159</v>
      </c>
      <c r="B45" s="101" t="s">
        <v>102</v>
      </c>
      <c r="C45" s="75" t="s">
        <v>318</v>
      </c>
      <c r="D45" s="87" t="s">
        <v>203</v>
      </c>
      <c r="E45" s="204" t="s">
        <v>296</v>
      </c>
      <c r="F45" s="99">
        <v>5.0199999999999996</v>
      </c>
      <c r="G45" s="99"/>
      <c r="H45" s="102"/>
      <c r="I45" s="244"/>
      <c r="J45" s="243" t="s">
        <v>91</v>
      </c>
      <c r="K45" s="80">
        <f t="shared" si="23"/>
        <v>1.0542</v>
      </c>
      <c r="L45" s="80">
        <f t="shared" si="25"/>
        <v>6.0741999999999994</v>
      </c>
      <c r="M45" s="81">
        <f t="shared" si="6"/>
        <v>14213628</v>
      </c>
      <c r="N45" s="82">
        <v>0.5</v>
      </c>
      <c r="O45" s="268">
        <f t="shared" si="26"/>
        <v>2.5099999999999998</v>
      </c>
      <c r="P45" s="81">
        <f t="shared" si="7"/>
        <v>5873400</v>
      </c>
      <c r="Q45" s="83"/>
      <c r="R45" s="81">
        <f t="shared" si="8"/>
        <v>1170000</v>
      </c>
      <c r="S45" s="100"/>
      <c r="T45" s="81">
        <f t="shared" si="9"/>
        <v>0</v>
      </c>
      <c r="U45" s="100"/>
      <c r="V45" s="85">
        <f t="shared" si="10"/>
        <v>0</v>
      </c>
      <c r="W45" s="85"/>
      <c r="X45" s="81">
        <f t="shared" si="11"/>
        <v>2416317</v>
      </c>
      <c r="Y45" s="81">
        <f t="shared" si="12"/>
        <v>1137090</v>
      </c>
      <c r="Z45" s="81">
        <f t="shared" si="13"/>
        <v>71068</v>
      </c>
      <c r="AA45" s="81">
        <f t="shared" si="14"/>
        <v>426409</v>
      </c>
      <c r="AB45" s="81">
        <f t="shared" si="15"/>
        <v>213204</v>
      </c>
      <c r="AC45" s="81">
        <f t="shared" si="16"/>
        <v>142136</v>
      </c>
      <c r="AD45" s="81">
        <f t="shared" si="17"/>
        <v>142136</v>
      </c>
      <c r="AE45" s="81">
        <f t="shared" si="18"/>
        <v>284273</v>
      </c>
      <c r="AF45" s="74"/>
      <c r="AG45" s="81"/>
      <c r="AH45" s="81">
        <f t="shared" si="3"/>
        <v>19764598</v>
      </c>
      <c r="AI45" s="97"/>
    </row>
    <row r="46" spans="1:35" ht="20.25" customHeight="1" x14ac:dyDescent="0.3">
      <c r="A46" s="73" t="s">
        <v>160</v>
      </c>
      <c r="B46" s="98" t="s">
        <v>104</v>
      </c>
      <c r="C46" s="75" t="s">
        <v>318</v>
      </c>
      <c r="D46" s="87" t="s">
        <v>197</v>
      </c>
      <c r="E46" s="204" t="s">
        <v>319</v>
      </c>
      <c r="F46" s="99">
        <v>4</v>
      </c>
      <c r="G46" s="99">
        <v>0.15</v>
      </c>
      <c r="H46" s="245"/>
      <c r="I46" s="245"/>
      <c r="J46" s="243" t="s">
        <v>101</v>
      </c>
      <c r="K46" s="80">
        <f t="shared" si="23"/>
        <v>0.66400000000000003</v>
      </c>
      <c r="L46" s="80">
        <f t="shared" si="25"/>
        <v>4.8140000000000001</v>
      </c>
      <c r="M46" s="81">
        <f t="shared" si="6"/>
        <v>11264760</v>
      </c>
      <c r="N46" s="82">
        <v>0.5</v>
      </c>
      <c r="O46" s="268">
        <f t="shared" si="26"/>
        <v>2.0750000000000002</v>
      </c>
      <c r="P46" s="81">
        <f t="shared" si="7"/>
        <v>4855500</v>
      </c>
      <c r="Q46" s="83"/>
      <c r="R46" s="81">
        <f t="shared" si="8"/>
        <v>1170000</v>
      </c>
      <c r="S46" s="100"/>
      <c r="T46" s="81">
        <f t="shared" si="9"/>
        <v>0</v>
      </c>
      <c r="U46" s="100"/>
      <c r="V46" s="85">
        <f t="shared" si="10"/>
        <v>0</v>
      </c>
      <c r="W46" s="85"/>
      <c r="X46" s="81">
        <f t="shared" si="11"/>
        <v>1915009</v>
      </c>
      <c r="Y46" s="81">
        <f t="shared" si="12"/>
        <v>901181</v>
      </c>
      <c r="Z46" s="81">
        <f t="shared" si="13"/>
        <v>56324</v>
      </c>
      <c r="AA46" s="81">
        <f t="shared" si="14"/>
        <v>337943</v>
      </c>
      <c r="AB46" s="81">
        <f t="shared" si="15"/>
        <v>168971</v>
      </c>
      <c r="AC46" s="81">
        <f t="shared" si="16"/>
        <v>112648</v>
      </c>
      <c r="AD46" s="81">
        <f t="shared" si="17"/>
        <v>112648</v>
      </c>
      <c r="AE46" s="81">
        <f t="shared" si="18"/>
        <v>225295</v>
      </c>
      <c r="AF46" s="74"/>
      <c r="AG46" s="81"/>
      <c r="AH46" s="81">
        <f t="shared" si="3"/>
        <v>16107460</v>
      </c>
      <c r="AI46" s="97"/>
    </row>
    <row r="47" spans="1:35" ht="20.25" customHeight="1" x14ac:dyDescent="0.3">
      <c r="A47" s="73" t="s">
        <v>161</v>
      </c>
      <c r="B47" s="101" t="s">
        <v>107</v>
      </c>
      <c r="C47" s="75" t="s">
        <v>317</v>
      </c>
      <c r="D47" s="77" t="s">
        <v>194</v>
      </c>
      <c r="E47" s="144" t="s">
        <v>306</v>
      </c>
      <c r="F47" s="99">
        <v>3.33</v>
      </c>
      <c r="G47" s="99">
        <v>0.15</v>
      </c>
      <c r="H47" s="102"/>
      <c r="I47" s="103"/>
      <c r="J47" s="243" t="s">
        <v>142</v>
      </c>
      <c r="K47" s="80">
        <f t="shared" si="23"/>
        <v>0.48720000000000002</v>
      </c>
      <c r="L47" s="80">
        <f t="shared" si="25"/>
        <v>3.9672000000000001</v>
      </c>
      <c r="M47" s="81">
        <f t="shared" si="6"/>
        <v>9283248</v>
      </c>
      <c r="N47" s="82">
        <v>0.5</v>
      </c>
      <c r="O47" s="268">
        <f t="shared" si="26"/>
        <v>1.74</v>
      </c>
      <c r="P47" s="81">
        <f t="shared" si="7"/>
        <v>4071600</v>
      </c>
      <c r="Q47" s="83"/>
      <c r="R47" s="81">
        <f t="shared" si="8"/>
        <v>1170000</v>
      </c>
      <c r="S47" s="100"/>
      <c r="T47" s="81">
        <f t="shared" si="9"/>
        <v>0</v>
      </c>
      <c r="U47" s="100"/>
      <c r="V47" s="85">
        <f t="shared" si="10"/>
        <v>0</v>
      </c>
      <c r="W47" s="85"/>
      <c r="X47" s="81">
        <f t="shared" si="11"/>
        <v>1578152</v>
      </c>
      <c r="Y47" s="81">
        <f t="shared" si="12"/>
        <v>742660</v>
      </c>
      <c r="Z47" s="81">
        <f t="shared" si="13"/>
        <v>46416</v>
      </c>
      <c r="AA47" s="81">
        <f t="shared" si="14"/>
        <v>278497</v>
      </c>
      <c r="AB47" s="81">
        <f t="shared" si="15"/>
        <v>139249</v>
      </c>
      <c r="AC47" s="81">
        <f t="shared" si="16"/>
        <v>92832</v>
      </c>
      <c r="AD47" s="81">
        <f t="shared" si="17"/>
        <v>92832</v>
      </c>
      <c r="AE47" s="81">
        <f t="shared" si="18"/>
        <v>185665</v>
      </c>
      <c r="AF47" s="74"/>
      <c r="AG47" s="81"/>
      <c r="AH47" s="81">
        <f t="shared" si="3"/>
        <v>13550107</v>
      </c>
      <c r="AI47" s="97"/>
    </row>
    <row r="48" spans="1:35" ht="20.25" customHeight="1" x14ac:dyDescent="0.3">
      <c r="A48" s="73" t="s">
        <v>162</v>
      </c>
      <c r="B48" s="98" t="s">
        <v>110</v>
      </c>
      <c r="C48" s="75" t="s">
        <v>317</v>
      </c>
      <c r="D48" s="87" t="s">
        <v>196</v>
      </c>
      <c r="E48" s="204" t="s">
        <v>273</v>
      </c>
      <c r="F48" s="99">
        <v>3.33</v>
      </c>
      <c r="G48" s="99"/>
      <c r="H48" s="241"/>
      <c r="I48" s="242"/>
      <c r="J48" s="243" t="s">
        <v>108</v>
      </c>
      <c r="K48" s="80">
        <f t="shared" si="23"/>
        <v>0.33300000000000002</v>
      </c>
      <c r="L48" s="80">
        <f t="shared" si="25"/>
        <v>3.6630000000000003</v>
      </c>
      <c r="M48" s="81">
        <f t="shared" si="6"/>
        <v>8571420</v>
      </c>
      <c r="N48" s="82">
        <v>0.5</v>
      </c>
      <c r="O48" s="268">
        <f t="shared" si="26"/>
        <v>1.665</v>
      </c>
      <c r="P48" s="81">
        <f t="shared" si="7"/>
        <v>3896100</v>
      </c>
      <c r="Q48" s="83"/>
      <c r="R48" s="81">
        <f t="shared" si="8"/>
        <v>1170000</v>
      </c>
      <c r="S48" s="100"/>
      <c r="T48" s="81">
        <f t="shared" si="9"/>
        <v>0</v>
      </c>
      <c r="U48" s="100"/>
      <c r="V48" s="85">
        <f t="shared" si="10"/>
        <v>0</v>
      </c>
      <c r="W48" s="85"/>
      <c r="X48" s="81">
        <f t="shared" si="11"/>
        <v>1457141</v>
      </c>
      <c r="Y48" s="81">
        <f t="shared" si="12"/>
        <v>685714</v>
      </c>
      <c r="Z48" s="81">
        <f t="shared" si="13"/>
        <v>42857</v>
      </c>
      <c r="AA48" s="81">
        <f t="shared" si="14"/>
        <v>257143</v>
      </c>
      <c r="AB48" s="81">
        <f t="shared" si="15"/>
        <v>128571</v>
      </c>
      <c r="AC48" s="81">
        <f t="shared" si="16"/>
        <v>85714</v>
      </c>
      <c r="AD48" s="81">
        <f t="shared" si="17"/>
        <v>85714</v>
      </c>
      <c r="AE48" s="81">
        <f t="shared" si="18"/>
        <v>171428</v>
      </c>
      <c r="AF48" s="74"/>
      <c r="AG48" s="81"/>
      <c r="AH48" s="81">
        <f t="shared" si="3"/>
        <v>12737521</v>
      </c>
      <c r="AI48" s="97"/>
    </row>
    <row r="49" spans="1:35" ht="20.25" customHeight="1" x14ac:dyDescent="0.3">
      <c r="A49" s="73" t="s">
        <v>163</v>
      </c>
      <c r="B49" s="98" t="s">
        <v>112</v>
      </c>
      <c r="C49" s="75" t="s">
        <v>317</v>
      </c>
      <c r="D49" s="87" t="s">
        <v>193</v>
      </c>
      <c r="E49" s="204" t="s">
        <v>320</v>
      </c>
      <c r="F49" s="207"/>
      <c r="G49" s="246"/>
      <c r="H49" s="246"/>
      <c r="I49" s="246" t="s">
        <v>328</v>
      </c>
      <c r="J49" s="247"/>
      <c r="K49" s="248"/>
      <c r="L49" s="248">
        <v>0</v>
      </c>
      <c r="M49" s="81">
        <f t="shared" si="6"/>
        <v>0</v>
      </c>
      <c r="N49" s="82">
        <v>0.5</v>
      </c>
      <c r="O49" s="268">
        <f>(2.67)*N49</f>
        <v>1.335</v>
      </c>
      <c r="P49" s="81">
        <f t="shared" si="7"/>
        <v>3123900</v>
      </c>
      <c r="Q49" s="83">
        <v>0</v>
      </c>
      <c r="R49" s="81">
        <v>0</v>
      </c>
      <c r="S49" s="100"/>
      <c r="T49" s="81">
        <f t="shared" si="9"/>
        <v>0</v>
      </c>
      <c r="U49" s="100"/>
      <c r="V49" s="85">
        <f t="shared" si="10"/>
        <v>0</v>
      </c>
      <c r="W49" s="85"/>
      <c r="X49" s="81">
        <f t="shared" si="11"/>
        <v>0</v>
      </c>
      <c r="Y49" s="81">
        <f t="shared" si="12"/>
        <v>0</v>
      </c>
      <c r="Z49" s="81">
        <f t="shared" si="13"/>
        <v>0</v>
      </c>
      <c r="AA49" s="81">
        <f t="shared" si="14"/>
        <v>0</v>
      </c>
      <c r="AB49" s="81">
        <f t="shared" si="15"/>
        <v>0</v>
      </c>
      <c r="AC49" s="81">
        <f t="shared" si="16"/>
        <v>0</v>
      </c>
      <c r="AD49" s="81">
        <f t="shared" si="17"/>
        <v>0</v>
      </c>
      <c r="AE49" s="81">
        <f t="shared" si="18"/>
        <v>0</v>
      </c>
      <c r="AF49" s="74"/>
      <c r="AG49" s="81"/>
      <c r="AH49" s="81">
        <f t="shared" si="3"/>
        <v>3123900</v>
      </c>
      <c r="AI49" s="97"/>
    </row>
    <row r="50" spans="1:35" ht="20.25" customHeight="1" x14ac:dyDescent="0.3">
      <c r="A50" s="73" t="s">
        <v>164</v>
      </c>
      <c r="B50" s="101" t="s">
        <v>173</v>
      </c>
      <c r="C50" s="201" t="s">
        <v>175</v>
      </c>
      <c r="D50" s="87" t="s">
        <v>185</v>
      </c>
      <c r="E50" s="204" t="s">
        <v>306</v>
      </c>
      <c r="F50" s="99">
        <v>3.66</v>
      </c>
      <c r="G50" s="88"/>
      <c r="H50" s="102"/>
      <c r="I50" s="103"/>
      <c r="J50" s="202"/>
      <c r="K50" s="80">
        <f t="shared" si="23"/>
        <v>0</v>
      </c>
      <c r="L50" s="80">
        <f t="shared" si="25"/>
        <v>3.66</v>
      </c>
      <c r="M50" s="81">
        <f t="shared" si="6"/>
        <v>8564400</v>
      </c>
      <c r="N50" s="82">
        <v>0</v>
      </c>
      <c r="O50" s="268">
        <f t="shared" si="26"/>
        <v>0</v>
      </c>
      <c r="P50" s="81">
        <f t="shared" si="7"/>
        <v>0</v>
      </c>
      <c r="Q50" s="83"/>
      <c r="R50" s="81">
        <f t="shared" si="8"/>
        <v>1170000</v>
      </c>
      <c r="S50" s="100">
        <v>0.1</v>
      </c>
      <c r="T50" s="81">
        <f t="shared" si="9"/>
        <v>234000</v>
      </c>
      <c r="U50" s="100"/>
      <c r="V50" s="85">
        <f t="shared" si="10"/>
        <v>0</v>
      </c>
      <c r="W50" s="85"/>
      <c r="X50" s="81">
        <f t="shared" si="11"/>
        <v>1455948</v>
      </c>
      <c r="Y50" s="81">
        <f t="shared" si="12"/>
        <v>685152</v>
      </c>
      <c r="Z50" s="81">
        <f t="shared" si="13"/>
        <v>42822</v>
      </c>
      <c r="AA50" s="81">
        <f t="shared" si="14"/>
        <v>256932</v>
      </c>
      <c r="AB50" s="81">
        <f t="shared" si="15"/>
        <v>128466</v>
      </c>
      <c r="AC50" s="81">
        <f t="shared" si="16"/>
        <v>85644</v>
      </c>
      <c r="AD50" s="81">
        <f t="shared" si="17"/>
        <v>85644</v>
      </c>
      <c r="AE50" s="81">
        <f t="shared" si="18"/>
        <v>171288</v>
      </c>
      <c r="AF50" s="74"/>
      <c r="AG50" s="81"/>
      <c r="AH50" s="81">
        <f t="shared" si="3"/>
        <v>9069138</v>
      </c>
      <c r="AI50" s="97"/>
    </row>
    <row r="51" spans="1:35" ht="20.25" customHeight="1" x14ac:dyDescent="0.3">
      <c r="A51" s="73" t="s">
        <v>165</v>
      </c>
      <c r="B51" s="101" t="s">
        <v>114</v>
      </c>
      <c r="C51" s="75" t="s">
        <v>115</v>
      </c>
      <c r="D51" s="87" t="s">
        <v>200</v>
      </c>
      <c r="E51" s="204" t="s">
        <v>276</v>
      </c>
      <c r="F51" s="99">
        <v>3.06</v>
      </c>
      <c r="G51" s="99">
        <v>0.15</v>
      </c>
      <c r="H51" s="102"/>
      <c r="I51" s="103"/>
      <c r="J51" s="202"/>
      <c r="K51" s="80">
        <f t="shared" si="23"/>
        <v>0</v>
      </c>
      <c r="L51" s="80">
        <f t="shared" si="25"/>
        <v>3.21</v>
      </c>
      <c r="M51" s="81">
        <f t="shared" si="6"/>
        <v>7511400</v>
      </c>
      <c r="N51" s="82">
        <v>0.2</v>
      </c>
      <c r="O51" s="268">
        <f t="shared" si="26"/>
        <v>0.64200000000000002</v>
      </c>
      <c r="P51" s="81">
        <f t="shared" si="7"/>
        <v>1502280</v>
      </c>
      <c r="Q51" s="83"/>
      <c r="R51" s="81">
        <f t="shared" si="8"/>
        <v>1170000</v>
      </c>
      <c r="S51" s="100"/>
      <c r="T51" s="81">
        <f t="shared" si="9"/>
        <v>0</v>
      </c>
      <c r="U51" s="100"/>
      <c r="V51" s="85">
        <f t="shared" si="10"/>
        <v>0</v>
      </c>
      <c r="W51" s="85"/>
      <c r="X51" s="81">
        <f t="shared" si="11"/>
        <v>1276938</v>
      </c>
      <c r="Y51" s="81">
        <f t="shared" si="12"/>
        <v>600912</v>
      </c>
      <c r="Z51" s="81">
        <f t="shared" si="13"/>
        <v>37557</v>
      </c>
      <c r="AA51" s="81">
        <f t="shared" si="14"/>
        <v>225342</v>
      </c>
      <c r="AB51" s="81">
        <f t="shared" si="15"/>
        <v>112671</v>
      </c>
      <c r="AC51" s="81">
        <f t="shared" si="16"/>
        <v>75114</v>
      </c>
      <c r="AD51" s="81">
        <f t="shared" si="17"/>
        <v>75114</v>
      </c>
      <c r="AE51" s="81">
        <f t="shared" si="18"/>
        <v>150228</v>
      </c>
      <c r="AF51" s="74"/>
      <c r="AG51" s="81"/>
      <c r="AH51" s="81">
        <f t="shared" si="3"/>
        <v>9394983</v>
      </c>
      <c r="AI51" s="97"/>
    </row>
    <row r="52" spans="1:35" ht="20.25" customHeight="1" x14ac:dyDescent="0.3">
      <c r="A52" s="73" t="s">
        <v>166</v>
      </c>
      <c r="B52" s="74" t="s">
        <v>283</v>
      </c>
      <c r="C52" s="75" t="s">
        <v>317</v>
      </c>
      <c r="D52" s="76" t="s">
        <v>214</v>
      </c>
      <c r="E52" s="144" t="s">
        <v>314</v>
      </c>
      <c r="F52" s="249">
        <v>3</v>
      </c>
      <c r="G52" s="250"/>
      <c r="H52" s="251"/>
      <c r="I52" s="252"/>
      <c r="J52" s="253" t="s">
        <v>111</v>
      </c>
      <c r="K52" s="254">
        <f t="shared" ref="K52" si="27">ROUND((F52+G52+I52)*J52/100,4)</f>
        <v>0.18</v>
      </c>
      <c r="L52" s="80">
        <f t="shared" si="25"/>
        <v>3.18</v>
      </c>
      <c r="M52" s="81">
        <f t="shared" si="6"/>
        <v>7441200</v>
      </c>
      <c r="N52" s="82">
        <v>0.5</v>
      </c>
      <c r="O52" s="268">
        <f t="shared" si="26"/>
        <v>1.5</v>
      </c>
      <c r="P52" s="81">
        <f t="shared" si="7"/>
        <v>3510000</v>
      </c>
      <c r="Q52" s="83"/>
      <c r="R52" s="81">
        <f t="shared" si="8"/>
        <v>1170000</v>
      </c>
      <c r="S52" s="100"/>
      <c r="T52" s="81">
        <f t="shared" si="9"/>
        <v>0</v>
      </c>
      <c r="U52" s="100"/>
      <c r="V52" s="85">
        <f t="shared" si="10"/>
        <v>0</v>
      </c>
      <c r="W52" s="85"/>
      <c r="X52" s="81">
        <f t="shared" si="11"/>
        <v>1265004</v>
      </c>
      <c r="Y52" s="81">
        <f t="shared" si="12"/>
        <v>595296</v>
      </c>
      <c r="Z52" s="81">
        <f t="shared" si="13"/>
        <v>37206</v>
      </c>
      <c r="AA52" s="81">
        <f t="shared" si="14"/>
        <v>223236</v>
      </c>
      <c r="AB52" s="81">
        <f t="shared" si="15"/>
        <v>111618</v>
      </c>
      <c r="AC52" s="81">
        <f t="shared" si="16"/>
        <v>74412</v>
      </c>
      <c r="AD52" s="81">
        <f t="shared" si="17"/>
        <v>74412</v>
      </c>
      <c r="AE52" s="81">
        <f t="shared" si="18"/>
        <v>148824</v>
      </c>
      <c r="AF52" s="74"/>
      <c r="AG52" s="81"/>
      <c r="AH52" s="81">
        <f t="shared" si="3"/>
        <v>11339874</v>
      </c>
      <c r="AI52" s="97"/>
    </row>
    <row r="53" spans="1:35" ht="20.25" customHeight="1" x14ac:dyDescent="0.3">
      <c r="A53" s="73" t="s">
        <v>167</v>
      </c>
      <c r="B53" s="74" t="s">
        <v>263</v>
      </c>
      <c r="C53" s="75" t="s">
        <v>317</v>
      </c>
      <c r="D53" s="255" t="s">
        <v>258</v>
      </c>
      <c r="E53" s="204" t="s">
        <v>319</v>
      </c>
      <c r="F53" s="93">
        <v>4.32</v>
      </c>
      <c r="G53" s="105"/>
      <c r="H53" s="256"/>
      <c r="I53" s="257"/>
      <c r="J53" s="258" t="s">
        <v>146</v>
      </c>
      <c r="K53" s="80">
        <f t="shared" ref="K53:K55" si="28">ROUND((F53+G53+I53)*J53/100,4)</f>
        <v>1.0367999999999999</v>
      </c>
      <c r="L53" s="80">
        <f t="shared" si="25"/>
        <v>5.3567999999999998</v>
      </c>
      <c r="M53" s="81">
        <f t="shared" si="6"/>
        <v>12534912</v>
      </c>
      <c r="N53" s="82">
        <v>0.5</v>
      </c>
      <c r="O53" s="268">
        <f t="shared" si="26"/>
        <v>2.16</v>
      </c>
      <c r="P53" s="81">
        <f t="shared" si="7"/>
        <v>5054400</v>
      </c>
      <c r="Q53" s="83"/>
      <c r="R53" s="81">
        <f t="shared" si="8"/>
        <v>1170000</v>
      </c>
      <c r="S53" s="100"/>
      <c r="T53" s="81">
        <f t="shared" si="9"/>
        <v>0</v>
      </c>
      <c r="U53" s="259"/>
      <c r="V53" s="85">
        <f t="shared" si="10"/>
        <v>0</v>
      </c>
      <c r="W53" s="106"/>
      <c r="X53" s="81">
        <f t="shared" si="11"/>
        <v>2130935</v>
      </c>
      <c r="Y53" s="81">
        <f t="shared" si="12"/>
        <v>1002793</v>
      </c>
      <c r="Z53" s="81">
        <f t="shared" si="13"/>
        <v>62675</v>
      </c>
      <c r="AA53" s="81">
        <f t="shared" si="14"/>
        <v>376047</v>
      </c>
      <c r="AB53" s="81">
        <f t="shared" si="15"/>
        <v>188024</v>
      </c>
      <c r="AC53" s="81">
        <f t="shared" si="16"/>
        <v>125349</v>
      </c>
      <c r="AD53" s="81">
        <f t="shared" si="17"/>
        <v>125349</v>
      </c>
      <c r="AE53" s="81">
        <f t="shared" si="18"/>
        <v>250698</v>
      </c>
      <c r="AF53" s="74"/>
      <c r="AG53" s="81"/>
      <c r="AH53" s="81">
        <f t="shared" si="3"/>
        <v>17443146</v>
      </c>
      <c r="AI53" s="260"/>
    </row>
    <row r="54" spans="1:35" ht="20.25" customHeight="1" x14ac:dyDescent="0.3">
      <c r="A54" s="73" t="s">
        <v>168</v>
      </c>
      <c r="B54" s="74" t="s">
        <v>265</v>
      </c>
      <c r="C54" s="75" t="s">
        <v>318</v>
      </c>
      <c r="D54" s="255" t="s">
        <v>266</v>
      </c>
      <c r="E54" s="205" t="s">
        <v>314</v>
      </c>
      <c r="F54" s="93">
        <v>4.68</v>
      </c>
      <c r="G54" s="105"/>
      <c r="H54" s="256"/>
      <c r="I54" s="257"/>
      <c r="J54" s="258" t="s">
        <v>146</v>
      </c>
      <c r="K54" s="80">
        <f t="shared" si="28"/>
        <v>1.1232</v>
      </c>
      <c r="L54" s="80">
        <f t="shared" si="25"/>
        <v>5.8031999999999995</v>
      </c>
      <c r="M54" s="81">
        <f t="shared" si="6"/>
        <v>13579488</v>
      </c>
      <c r="N54" s="82">
        <v>0.5</v>
      </c>
      <c r="O54" s="268">
        <f t="shared" si="26"/>
        <v>2.34</v>
      </c>
      <c r="P54" s="81">
        <f t="shared" si="7"/>
        <v>5475600</v>
      </c>
      <c r="Q54" s="83"/>
      <c r="R54" s="81">
        <f t="shared" si="8"/>
        <v>1170000</v>
      </c>
      <c r="S54" s="100"/>
      <c r="T54" s="81">
        <f t="shared" si="9"/>
        <v>0</v>
      </c>
      <c r="U54" s="259"/>
      <c r="V54" s="85">
        <f t="shared" si="10"/>
        <v>0</v>
      </c>
      <c r="W54" s="106"/>
      <c r="X54" s="81">
        <f t="shared" si="11"/>
        <v>2308513</v>
      </c>
      <c r="Y54" s="81">
        <f t="shared" si="12"/>
        <v>1086359</v>
      </c>
      <c r="Z54" s="81">
        <f t="shared" si="13"/>
        <v>67897</v>
      </c>
      <c r="AA54" s="81">
        <f t="shared" si="14"/>
        <v>407385</v>
      </c>
      <c r="AB54" s="81">
        <f t="shared" si="15"/>
        <v>203692</v>
      </c>
      <c r="AC54" s="81">
        <f t="shared" si="16"/>
        <v>135795</v>
      </c>
      <c r="AD54" s="81">
        <f t="shared" si="17"/>
        <v>135795</v>
      </c>
      <c r="AE54" s="81">
        <f t="shared" si="18"/>
        <v>271590</v>
      </c>
      <c r="AF54" s="74"/>
      <c r="AG54" s="81"/>
      <c r="AH54" s="81">
        <f t="shared" si="3"/>
        <v>18799242</v>
      </c>
      <c r="AI54" s="260"/>
    </row>
    <row r="55" spans="1:35" ht="20.25" customHeight="1" x14ac:dyDescent="0.3">
      <c r="A55" s="73" t="s">
        <v>169</v>
      </c>
      <c r="B55" s="74" t="s">
        <v>264</v>
      </c>
      <c r="C55" s="75" t="s">
        <v>317</v>
      </c>
      <c r="D55" s="255" t="s">
        <v>270</v>
      </c>
      <c r="E55" s="144" t="s">
        <v>308</v>
      </c>
      <c r="F55" s="93">
        <v>3.99</v>
      </c>
      <c r="G55" s="105"/>
      <c r="H55" s="256"/>
      <c r="I55" s="257"/>
      <c r="J55" s="258" t="s">
        <v>97</v>
      </c>
      <c r="K55" s="80">
        <f t="shared" si="28"/>
        <v>0.7581</v>
      </c>
      <c r="L55" s="80">
        <f t="shared" si="25"/>
        <v>4.7481</v>
      </c>
      <c r="M55" s="81">
        <f t="shared" si="6"/>
        <v>11110554</v>
      </c>
      <c r="N55" s="82">
        <v>0.5</v>
      </c>
      <c r="O55" s="268">
        <f t="shared" si="26"/>
        <v>1.9950000000000001</v>
      </c>
      <c r="P55" s="81">
        <f t="shared" si="7"/>
        <v>4668300</v>
      </c>
      <c r="Q55" s="83"/>
      <c r="R55" s="81">
        <f t="shared" si="8"/>
        <v>1170000</v>
      </c>
      <c r="S55" s="100"/>
      <c r="T55" s="81">
        <f t="shared" si="9"/>
        <v>0</v>
      </c>
      <c r="U55" s="259"/>
      <c r="V55" s="85">
        <f t="shared" si="10"/>
        <v>0</v>
      </c>
      <c r="W55" s="106"/>
      <c r="X55" s="81">
        <f t="shared" si="11"/>
        <v>1888794</v>
      </c>
      <c r="Y55" s="81">
        <f t="shared" si="12"/>
        <v>888844</v>
      </c>
      <c r="Z55" s="81">
        <f t="shared" si="13"/>
        <v>55553</v>
      </c>
      <c r="AA55" s="81">
        <f t="shared" si="14"/>
        <v>333317</v>
      </c>
      <c r="AB55" s="81">
        <f t="shared" si="15"/>
        <v>166658</v>
      </c>
      <c r="AC55" s="81">
        <f t="shared" si="16"/>
        <v>111106</v>
      </c>
      <c r="AD55" s="81">
        <f t="shared" si="17"/>
        <v>111106</v>
      </c>
      <c r="AE55" s="81">
        <f t="shared" si="18"/>
        <v>222211</v>
      </c>
      <c r="AF55" s="74"/>
      <c r="AG55" s="81"/>
      <c r="AH55" s="81">
        <f t="shared" si="3"/>
        <v>15782246</v>
      </c>
      <c r="AI55" s="260"/>
    </row>
    <row r="56" spans="1:35" ht="20.25" customHeight="1" x14ac:dyDescent="0.3">
      <c r="A56" s="73" t="s">
        <v>170</v>
      </c>
      <c r="B56" s="107" t="s">
        <v>215</v>
      </c>
      <c r="C56" s="75" t="s">
        <v>317</v>
      </c>
      <c r="D56" s="76" t="s">
        <v>325</v>
      </c>
      <c r="E56" s="144" t="s">
        <v>315</v>
      </c>
      <c r="F56" s="78">
        <v>2.34</v>
      </c>
      <c r="G56" s="78"/>
      <c r="H56" s="79"/>
      <c r="I56" s="75"/>
      <c r="J56" s="92"/>
      <c r="K56" s="80">
        <f>ROUND((F56+G56+I56)*J56/100,4)</f>
        <v>0</v>
      </c>
      <c r="L56" s="80">
        <f t="shared" si="25"/>
        <v>2.34</v>
      </c>
      <c r="M56" s="81">
        <f t="shared" si="6"/>
        <v>5475600</v>
      </c>
      <c r="N56" s="82">
        <v>0.5</v>
      </c>
      <c r="O56" s="268">
        <f t="shared" si="26"/>
        <v>1.17</v>
      </c>
      <c r="P56" s="81">
        <f t="shared" si="7"/>
        <v>2737800</v>
      </c>
      <c r="Q56" s="83"/>
      <c r="R56" s="81">
        <f t="shared" si="8"/>
        <v>1170000</v>
      </c>
      <c r="S56" s="84"/>
      <c r="T56" s="81">
        <f t="shared" si="9"/>
        <v>0</v>
      </c>
      <c r="U56" s="84"/>
      <c r="V56" s="85">
        <f t="shared" si="10"/>
        <v>0</v>
      </c>
      <c r="W56" s="85"/>
      <c r="X56" s="81">
        <f t="shared" si="11"/>
        <v>930852</v>
      </c>
      <c r="Y56" s="81">
        <f t="shared" si="12"/>
        <v>438048</v>
      </c>
      <c r="Z56" s="81">
        <f t="shared" si="13"/>
        <v>27378</v>
      </c>
      <c r="AA56" s="81">
        <f t="shared" si="14"/>
        <v>164268</v>
      </c>
      <c r="AB56" s="81">
        <f t="shared" si="15"/>
        <v>82134</v>
      </c>
      <c r="AC56" s="81">
        <f t="shared" si="16"/>
        <v>54756</v>
      </c>
      <c r="AD56" s="81">
        <f t="shared" si="17"/>
        <v>54756</v>
      </c>
      <c r="AE56" s="81">
        <f t="shared" si="18"/>
        <v>109512</v>
      </c>
      <c r="AF56" s="74"/>
      <c r="AG56" s="81"/>
      <c r="AH56" s="81">
        <f t="shared" si="3"/>
        <v>8808462</v>
      </c>
      <c r="AI56" s="74"/>
    </row>
    <row r="57" spans="1:35" ht="20.25" customHeight="1" x14ac:dyDescent="0.3">
      <c r="A57" s="73" t="s">
        <v>171</v>
      </c>
      <c r="B57" s="107" t="s">
        <v>208</v>
      </c>
      <c r="C57" s="75" t="s">
        <v>90</v>
      </c>
      <c r="D57" s="87" t="s">
        <v>326</v>
      </c>
      <c r="E57" s="203" t="s">
        <v>316</v>
      </c>
      <c r="F57" s="78">
        <v>2.1</v>
      </c>
      <c r="G57" s="78"/>
      <c r="H57" s="79"/>
      <c r="I57" s="75"/>
      <c r="J57" s="92"/>
      <c r="K57" s="80">
        <f>ROUND((F57+G57+I57)*J57/100,4)</f>
        <v>0</v>
      </c>
      <c r="L57" s="80">
        <f t="shared" si="25"/>
        <v>2.1</v>
      </c>
      <c r="M57" s="81">
        <f t="shared" si="6"/>
        <v>4914000</v>
      </c>
      <c r="N57" s="108">
        <v>0.5</v>
      </c>
      <c r="O57" s="268">
        <f t="shared" si="26"/>
        <v>1.05</v>
      </c>
      <c r="P57" s="81">
        <f t="shared" si="7"/>
        <v>2457000</v>
      </c>
      <c r="Q57" s="83"/>
      <c r="R57" s="81">
        <f t="shared" si="8"/>
        <v>1170000</v>
      </c>
      <c r="S57" s="84"/>
      <c r="T57" s="81">
        <f t="shared" si="9"/>
        <v>0</v>
      </c>
      <c r="U57" s="84"/>
      <c r="V57" s="85">
        <f t="shared" si="10"/>
        <v>0</v>
      </c>
      <c r="W57" s="85"/>
      <c r="X57" s="81">
        <f t="shared" si="11"/>
        <v>835380</v>
      </c>
      <c r="Y57" s="81">
        <f t="shared" si="12"/>
        <v>393120</v>
      </c>
      <c r="Z57" s="81">
        <f t="shared" si="13"/>
        <v>24570</v>
      </c>
      <c r="AA57" s="81">
        <f t="shared" si="14"/>
        <v>147420</v>
      </c>
      <c r="AB57" s="81">
        <f t="shared" si="15"/>
        <v>73710</v>
      </c>
      <c r="AC57" s="81">
        <f t="shared" si="16"/>
        <v>49140</v>
      </c>
      <c r="AD57" s="81">
        <f t="shared" si="17"/>
        <v>49140</v>
      </c>
      <c r="AE57" s="81">
        <f t="shared" si="18"/>
        <v>98280</v>
      </c>
      <c r="AF57" s="74"/>
      <c r="AG57" s="81"/>
      <c r="AH57" s="81">
        <f t="shared" si="3"/>
        <v>8025030</v>
      </c>
      <c r="AI57" s="74"/>
    </row>
    <row r="58" spans="1:35" s="113" customFormat="1" ht="37.5" customHeight="1" x14ac:dyDescent="0.3">
      <c r="A58" s="272" t="s">
        <v>86</v>
      </c>
      <c r="B58" s="363" t="s">
        <v>282</v>
      </c>
      <c r="C58" s="364"/>
      <c r="D58" s="364"/>
      <c r="E58" s="365"/>
      <c r="F58" s="109">
        <f>SUM(F59:F62)</f>
        <v>8.3800000000000008</v>
      </c>
      <c r="G58" s="109">
        <v>0</v>
      </c>
      <c r="H58" s="109">
        <v>0</v>
      </c>
      <c r="I58" s="110">
        <v>0</v>
      </c>
      <c r="J58" s="111"/>
      <c r="K58" s="112">
        <v>0</v>
      </c>
      <c r="L58" s="112">
        <f>SUM(L59:L62)</f>
        <v>8.3800000000000008</v>
      </c>
      <c r="M58" s="267">
        <f t="shared" ref="M58:AI58" si="29">SUM(M59:M62)</f>
        <v>19609200</v>
      </c>
      <c r="N58" s="267">
        <f t="shared" ref="N58" si="30">SUM(N59:N62)</f>
        <v>0</v>
      </c>
      <c r="O58" s="267">
        <f t="shared" ref="O58" si="31">SUM(O59:O62)</f>
        <v>0</v>
      </c>
      <c r="P58" s="267">
        <f t="shared" ref="P58" si="32">SUM(P59:P62)</f>
        <v>0</v>
      </c>
      <c r="Q58" s="267">
        <f t="shared" ref="Q58" si="33">SUM(Q59:Q62)</f>
        <v>0</v>
      </c>
      <c r="R58" s="267">
        <f t="shared" ref="R58" si="34">SUM(R59:R62)</f>
        <v>4680000</v>
      </c>
      <c r="S58" s="267">
        <f t="shared" ref="S58" si="35">SUM(S59:S62)</f>
        <v>0</v>
      </c>
      <c r="T58" s="267">
        <f t="shared" ref="T58" si="36">SUM(T59:T62)</f>
        <v>0</v>
      </c>
      <c r="U58" s="267">
        <f t="shared" ref="U58" si="37">SUM(U59:U62)</f>
        <v>0</v>
      </c>
      <c r="V58" s="267">
        <f t="shared" ref="V58" si="38">SUM(V59:V62)</f>
        <v>0</v>
      </c>
      <c r="W58" s="267">
        <f t="shared" ref="W58" si="39">SUM(W59:W62)</f>
        <v>0</v>
      </c>
      <c r="X58" s="267">
        <f t="shared" ref="X58" si="40">SUM(X59:X62)</f>
        <v>3333564</v>
      </c>
      <c r="Y58" s="267">
        <f t="shared" ref="Y58" si="41">SUM(Y59:Y62)</f>
        <v>1568736</v>
      </c>
      <c r="Z58" s="267">
        <f t="shared" ref="Z58" si="42">SUM(Z59:Z62)</f>
        <v>98046</v>
      </c>
      <c r="AA58" s="267">
        <f t="shared" ref="AA58" si="43">SUM(AA59:AA62)</f>
        <v>588276</v>
      </c>
      <c r="AB58" s="267">
        <f t="shared" ref="AB58" si="44">SUM(AB59:AB62)</f>
        <v>294138</v>
      </c>
      <c r="AC58" s="267">
        <f t="shared" ref="AC58" si="45">SUM(AC59:AC62)</f>
        <v>196092</v>
      </c>
      <c r="AD58" s="267">
        <f t="shared" ref="AD58" si="46">SUM(AD59:AD62)</f>
        <v>196092</v>
      </c>
      <c r="AE58" s="267">
        <f t="shared" ref="AE58" si="47">SUM(AE59:AE62)</f>
        <v>392184</v>
      </c>
      <c r="AF58" s="267">
        <f t="shared" ref="AF58" si="48">SUM(AF59:AF62)</f>
        <v>0</v>
      </c>
      <c r="AG58" s="267">
        <f t="shared" ref="AG58" si="49">SUM(AG59:AG62)</f>
        <v>0</v>
      </c>
      <c r="AH58" s="267">
        <f t="shared" ref="AH58" si="50">SUM(AH59:AH62)</f>
        <v>22230234</v>
      </c>
      <c r="AI58" s="112">
        <f t="shared" si="29"/>
        <v>0</v>
      </c>
    </row>
    <row r="59" spans="1:35" s="96" customFormat="1" ht="20.25" customHeight="1" x14ac:dyDescent="0.2">
      <c r="A59" s="114">
        <v>1</v>
      </c>
      <c r="B59" s="115" t="s">
        <v>6</v>
      </c>
      <c r="C59" s="116" t="s">
        <v>271</v>
      </c>
      <c r="D59" s="116"/>
      <c r="E59" s="117" t="s">
        <v>285</v>
      </c>
      <c r="F59" s="118">
        <v>2.58</v>
      </c>
      <c r="G59" s="118"/>
      <c r="H59" s="119"/>
      <c r="I59" s="94"/>
      <c r="J59" s="120"/>
      <c r="K59" s="121"/>
      <c r="L59" s="105">
        <f>F59</f>
        <v>2.58</v>
      </c>
      <c r="M59" s="81">
        <f t="shared" si="6"/>
        <v>6037200</v>
      </c>
      <c r="N59" s="108"/>
      <c r="O59" s="122"/>
      <c r="P59" s="81">
        <f t="shared" si="7"/>
        <v>0</v>
      </c>
      <c r="Q59" s="124"/>
      <c r="R59" s="81">
        <f t="shared" si="8"/>
        <v>1170000</v>
      </c>
      <c r="S59" s="125"/>
      <c r="T59" s="123"/>
      <c r="U59" s="125"/>
      <c r="V59" s="106"/>
      <c r="W59" s="106"/>
      <c r="X59" s="81">
        <f t="shared" ref="X59:X62" si="51">ROUND((L59*2340000*17/100),0)</f>
        <v>1026324</v>
      </c>
      <c r="Y59" s="81">
        <f t="shared" ref="Y59:Y62" si="52">ROUND((L59*2340000*8/100),0)</f>
        <v>482976</v>
      </c>
      <c r="Z59" s="81">
        <f t="shared" ref="Z59:Z62" si="53">ROUND((L59*2340000*0.5/100),0)</f>
        <v>30186</v>
      </c>
      <c r="AA59" s="81">
        <f t="shared" ref="AA59:AA62" si="54">ROUND((L59*2340000*3/100),0)</f>
        <v>181116</v>
      </c>
      <c r="AB59" s="81">
        <f t="shared" ref="AB59:AB62" si="55">ROUND((L59*2340000*1.5/100),0)</f>
        <v>90558</v>
      </c>
      <c r="AC59" s="81">
        <f t="shared" ref="AC59:AC62" si="56">ROUND((L59*2340000*1/100),0)</f>
        <v>60372</v>
      </c>
      <c r="AD59" s="81">
        <f t="shared" ref="AD59:AD62" si="57">ROUND((L59*2340000*1/100),0)</f>
        <v>60372</v>
      </c>
      <c r="AE59" s="81">
        <f t="shared" ref="AE59:AE62" si="58">ROUND((L59*2340000*2/100),0)</f>
        <v>120744</v>
      </c>
      <c r="AF59" s="115"/>
      <c r="AG59" s="123"/>
      <c r="AH59" s="123">
        <f>M59-Y59-AB59-AD59+P59+R59+T59+V59+W59</f>
        <v>6573294</v>
      </c>
      <c r="AI59" s="115"/>
    </row>
    <row r="60" spans="1:35" s="96" customFormat="1" ht="20.25" customHeight="1" x14ac:dyDescent="0.2">
      <c r="A60" s="114">
        <v>2</v>
      </c>
      <c r="B60" s="115" t="s">
        <v>172</v>
      </c>
      <c r="C60" s="116" t="s">
        <v>271</v>
      </c>
      <c r="D60" s="116"/>
      <c r="E60" s="117" t="s">
        <v>285</v>
      </c>
      <c r="F60" s="118">
        <v>2.04</v>
      </c>
      <c r="G60" s="118"/>
      <c r="H60" s="119"/>
      <c r="I60" s="94"/>
      <c r="J60" s="120"/>
      <c r="K60" s="121"/>
      <c r="L60" s="105">
        <f>F60</f>
        <v>2.04</v>
      </c>
      <c r="M60" s="81">
        <f t="shared" si="6"/>
        <v>4773600</v>
      </c>
      <c r="N60" s="108"/>
      <c r="O60" s="122"/>
      <c r="P60" s="81">
        <f t="shared" si="7"/>
        <v>0</v>
      </c>
      <c r="Q60" s="124"/>
      <c r="R60" s="81">
        <f t="shared" si="8"/>
        <v>1170000</v>
      </c>
      <c r="S60" s="125"/>
      <c r="T60" s="123"/>
      <c r="U60" s="125"/>
      <c r="V60" s="106"/>
      <c r="W60" s="106"/>
      <c r="X60" s="81">
        <f t="shared" si="51"/>
        <v>811512</v>
      </c>
      <c r="Y60" s="81">
        <f t="shared" si="52"/>
        <v>381888</v>
      </c>
      <c r="Z60" s="81">
        <f t="shared" si="53"/>
        <v>23868</v>
      </c>
      <c r="AA60" s="81">
        <f t="shared" si="54"/>
        <v>143208</v>
      </c>
      <c r="AB60" s="81">
        <f t="shared" si="55"/>
        <v>71604</v>
      </c>
      <c r="AC60" s="81">
        <f t="shared" si="56"/>
        <v>47736</v>
      </c>
      <c r="AD60" s="81">
        <f t="shared" si="57"/>
        <v>47736</v>
      </c>
      <c r="AE60" s="81">
        <f t="shared" si="58"/>
        <v>95472</v>
      </c>
      <c r="AF60" s="115"/>
      <c r="AG60" s="123"/>
      <c r="AH60" s="123">
        <f t="shared" ref="AH60:AH62" si="59">M60-Y60-AB60-AD60+P60+R60+T60+V60+W60</f>
        <v>5442372</v>
      </c>
      <c r="AI60" s="115"/>
    </row>
    <row r="61" spans="1:35" s="96" customFormat="1" ht="24.75" customHeight="1" x14ac:dyDescent="0.2">
      <c r="A61" s="114">
        <v>3</v>
      </c>
      <c r="B61" s="115" t="s">
        <v>212</v>
      </c>
      <c r="C61" s="116" t="s">
        <v>271</v>
      </c>
      <c r="D61" s="116"/>
      <c r="E61" s="117" t="s">
        <v>285</v>
      </c>
      <c r="F61" s="118">
        <v>1.86</v>
      </c>
      <c r="G61" s="118"/>
      <c r="H61" s="119"/>
      <c r="I61" s="94"/>
      <c r="J61" s="120"/>
      <c r="K61" s="121"/>
      <c r="L61" s="105">
        <f>F61</f>
        <v>1.86</v>
      </c>
      <c r="M61" s="81">
        <f t="shared" si="6"/>
        <v>4352400</v>
      </c>
      <c r="N61" s="108"/>
      <c r="O61" s="122"/>
      <c r="P61" s="81">
        <f t="shared" si="7"/>
        <v>0</v>
      </c>
      <c r="Q61" s="124"/>
      <c r="R61" s="81">
        <f t="shared" si="8"/>
        <v>1170000</v>
      </c>
      <c r="S61" s="125"/>
      <c r="T61" s="123"/>
      <c r="U61" s="125"/>
      <c r="V61" s="106"/>
      <c r="W61" s="106"/>
      <c r="X61" s="81">
        <f t="shared" si="51"/>
        <v>739908</v>
      </c>
      <c r="Y61" s="81">
        <f t="shared" si="52"/>
        <v>348192</v>
      </c>
      <c r="Z61" s="81">
        <f t="shared" si="53"/>
        <v>21762</v>
      </c>
      <c r="AA61" s="81">
        <f t="shared" si="54"/>
        <v>130572</v>
      </c>
      <c r="AB61" s="81">
        <f t="shared" si="55"/>
        <v>65286</v>
      </c>
      <c r="AC61" s="81">
        <f t="shared" si="56"/>
        <v>43524</v>
      </c>
      <c r="AD61" s="81">
        <f t="shared" si="57"/>
        <v>43524</v>
      </c>
      <c r="AE61" s="81">
        <f t="shared" si="58"/>
        <v>87048</v>
      </c>
      <c r="AF61" s="115"/>
      <c r="AG61" s="123"/>
      <c r="AH61" s="123">
        <f t="shared" si="59"/>
        <v>5065398</v>
      </c>
      <c r="AI61" s="126"/>
    </row>
    <row r="62" spans="1:35" s="96" customFormat="1" ht="20.25" customHeight="1" x14ac:dyDescent="0.2">
      <c r="A62" s="114">
        <v>4</v>
      </c>
      <c r="B62" s="115" t="s">
        <v>213</v>
      </c>
      <c r="C62" s="116" t="s">
        <v>272</v>
      </c>
      <c r="D62" s="116"/>
      <c r="E62" s="117" t="s">
        <v>285</v>
      </c>
      <c r="F62" s="118">
        <v>1.9</v>
      </c>
      <c r="G62" s="118"/>
      <c r="H62" s="119"/>
      <c r="I62" s="94"/>
      <c r="J62" s="120"/>
      <c r="K62" s="121"/>
      <c r="L62" s="105">
        <f>F62</f>
        <v>1.9</v>
      </c>
      <c r="M62" s="81">
        <f t="shared" si="6"/>
        <v>4446000</v>
      </c>
      <c r="N62" s="108"/>
      <c r="O62" s="122"/>
      <c r="P62" s="81">
        <f t="shared" si="7"/>
        <v>0</v>
      </c>
      <c r="Q62" s="124"/>
      <c r="R62" s="81">
        <f t="shared" si="8"/>
        <v>1170000</v>
      </c>
      <c r="S62" s="125"/>
      <c r="T62" s="123"/>
      <c r="U62" s="125"/>
      <c r="V62" s="106"/>
      <c r="W62" s="106"/>
      <c r="X62" s="81">
        <f t="shared" si="51"/>
        <v>755820</v>
      </c>
      <c r="Y62" s="81">
        <f t="shared" si="52"/>
        <v>355680</v>
      </c>
      <c r="Z62" s="81">
        <f t="shared" si="53"/>
        <v>22230</v>
      </c>
      <c r="AA62" s="81">
        <f t="shared" si="54"/>
        <v>133380</v>
      </c>
      <c r="AB62" s="81">
        <f t="shared" si="55"/>
        <v>66690</v>
      </c>
      <c r="AC62" s="81">
        <f t="shared" si="56"/>
        <v>44460</v>
      </c>
      <c r="AD62" s="81">
        <f t="shared" si="57"/>
        <v>44460</v>
      </c>
      <c r="AE62" s="81">
        <f t="shared" si="58"/>
        <v>88920</v>
      </c>
      <c r="AF62" s="115"/>
      <c r="AG62" s="123"/>
      <c r="AH62" s="123">
        <f t="shared" si="59"/>
        <v>5149170</v>
      </c>
      <c r="AI62" s="126"/>
    </row>
    <row r="63" spans="1:35" s="96" customFormat="1" ht="24" customHeight="1" x14ac:dyDescent="0.2">
      <c r="A63" s="345" t="s">
        <v>63</v>
      </c>
      <c r="B63" s="346"/>
      <c r="C63" s="127"/>
      <c r="D63" s="127"/>
      <c r="E63" s="127"/>
      <c r="F63" s="128">
        <f>F58+F8</f>
        <v>199.54000000000002</v>
      </c>
      <c r="G63" s="128">
        <f>G8</f>
        <v>3.4</v>
      </c>
      <c r="H63" s="128">
        <f>H8</f>
        <v>0</v>
      </c>
      <c r="I63" s="129">
        <f>I8</f>
        <v>0.50180000000000002</v>
      </c>
      <c r="J63" s="128"/>
      <c r="K63" s="129">
        <f>K8</f>
        <v>36.193499999999993</v>
      </c>
      <c r="L63" s="128">
        <f t="shared" ref="L63:AI63" si="60">L58+L8</f>
        <v>239.63529999999997</v>
      </c>
      <c r="M63" s="130">
        <f t="shared" si="60"/>
        <v>560746602</v>
      </c>
      <c r="N63" s="130">
        <f t="shared" si="60"/>
        <v>0</v>
      </c>
      <c r="O63" s="131">
        <f t="shared" si="60"/>
        <v>93.082899999999981</v>
      </c>
      <c r="P63" s="130">
        <f t="shared" si="60"/>
        <v>217813986</v>
      </c>
      <c r="Q63" s="130">
        <f t="shared" si="60"/>
        <v>0</v>
      </c>
      <c r="R63" s="130">
        <f t="shared" si="60"/>
        <v>60840000</v>
      </c>
      <c r="S63" s="128">
        <f t="shared" si="60"/>
        <v>0.5</v>
      </c>
      <c r="T63" s="130">
        <f t="shared" si="60"/>
        <v>1170000</v>
      </c>
      <c r="U63" s="128">
        <f t="shared" si="60"/>
        <v>0.4</v>
      </c>
      <c r="V63" s="130">
        <f t="shared" si="60"/>
        <v>936000</v>
      </c>
      <c r="W63" s="130">
        <f t="shared" si="60"/>
        <v>468000</v>
      </c>
      <c r="X63" s="130">
        <f t="shared" si="60"/>
        <v>95326921</v>
      </c>
      <c r="Y63" s="130">
        <f t="shared" si="60"/>
        <v>44859730</v>
      </c>
      <c r="Z63" s="130">
        <f t="shared" si="60"/>
        <v>2803733</v>
      </c>
      <c r="AA63" s="130">
        <f t="shared" si="60"/>
        <v>16822399</v>
      </c>
      <c r="AB63" s="130">
        <f t="shared" si="60"/>
        <v>8411200</v>
      </c>
      <c r="AC63" s="130">
        <f t="shared" si="60"/>
        <v>5607470</v>
      </c>
      <c r="AD63" s="130">
        <f t="shared" si="60"/>
        <v>5607470</v>
      </c>
      <c r="AE63" s="130">
        <f t="shared" si="60"/>
        <v>11214929</v>
      </c>
      <c r="AF63" s="130">
        <f t="shared" si="60"/>
        <v>0</v>
      </c>
      <c r="AG63" s="130">
        <f t="shared" si="60"/>
        <v>0</v>
      </c>
      <c r="AH63" s="130">
        <f t="shared" si="60"/>
        <v>783096188</v>
      </c>
      <c r="AI63" s="130">
        <f t="shared" si="60"/>
        <v>0</v>
      </c>
    </row>
    <row r="64" spans="1:35" ht="21.75" customHeight="1" x14ac:dyDescent="0.3">
      <c r="A64" s="347" t="s">
        <v>377</v>
      </c>
      <c r="B64" s="347"/>
      <c r="C64" s="347"/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47"/>
      <c r="S64" s="347"/>
      <c r="T64" s="347"/>
      <c r="U64" s="347"/>
      <c r="V64" s="347"/>
      <c r="W64" s="347"/>
      <c r="X64" s="347"/>
      <c r="Y64" s="347"/>
      <c r="Z64" s="347"/>
      <c r="AA64" s="347"/>
      <c r="AB64" s="51"/>
      <c r="AC64" s="51"/>
      <c r="AD64" s="51"/>
      <c r="AE64" s="51"/>
      <c r="AF64" s="51"/>
      <c r="AG64" s="51"/>
      <c r="AH64" s="51"/>
      <c r="AI64" s="51"/>
    </row>
    <row r="65" spans="1:35" x14ac:dyDescent="0.3">
      <c r="A65" s="132"/>
      <c r="B65" s="51"/>
      <c r="C65" s="133"/>
      <c r="F65" s="134"/>
      <c r="G65" s="134"/>
      <c r="H65" s="51"/>
      <c r="I65" s="51"/>
      <c r="J65" s="133"/>
      <c r="K65" s="51"/>
      <c r="L65" s="133"/>
      <c r="Q65" s="135"/>
      <c r="R65" s="136"/>
      <c r="S65" s="51"/>
      <c r="T65" s="51"/>
      <c r="U65" s="51"/>
      <c r="V65" s="133"/>
      <c r="W65" s="133"/>
      <c r="X65" s="51"/>
      <c r="Y65" s="51"/>
      <c r="Z65" s="51"/>
      <c r="AA65" s="51"/>
      <c r="AB65" s="51"/>
      <c r="AC65" s="337" t="s">
        <v>329</v>
      </c>
      <c r="AD65" s="337"/>
      <c r="AE65" s="337"/>
      <c r="AF65" s="337"/>
      <c r="AG65" s="337"/>
      <c r="AH65" s="337"/>
      <c r="AI65" s="337"/>
    </row>
    <row r="66" spans="1:35" x14ac:dyDescent="0.3">
      <c r="A66" s="137"/>
      <c r="B66" s="297" t="s">
        <v>64</v>
      </c>
      <c r="C66" s="297"/>
      <c r="D66" s="297"/>
      <c r="E66" s="297"/>
      <c r="F66" s="297"/>
      <c r="G66" s="297"/>
      <c r="H66" s="297"/>
      <c r="I66" s="113"/>
      <c r="J66" s="270"/>
      <c r="K66" s="113"/>
      <c r="L66" s="138"/>
      <c r="M66" s="138"/>
      <c r="N66" s="138"/>
      <c r="O66" s="138"/>
      <c r="P66" s="138"/>
      <c r="Q66" s="138"/>
      <c r="R66" s="138"/>
      <c r="S66" s="113"/>
      <c r="T66" s="297" t="s">
        <v>23</v>
      </c>
      <c r="U66" s="297"/>
      <c r="V66" s="297"/>
      <c r="W66" s="297"/>
      <c r="X66" s="113"/>
      <c r="Y66" s="297"/>
      <c r="Z66" s="297"/>
      <c r="AA66" s="297"/>
      <c r="AB66" s="297"/>
      <c r="AC66" s="113"/>
      <c r="AD66" s="337" t="s">
        <v>133</v>
      </c>
      <c r="AE66" s="337"/>
      <c r="AF66" s="337"/>
      <c r="AG66" s="337"/>
      <c r="AH66" s="139"/>
      <c r="AI66" s="139"/>
    </row>
    <row r="67" spans="1:35" x14ac:dyDescent="0.3">
      <c r="A67" s="132"/>
      <c r="B67" s="343" t="s">
        <v>66</v>
      </c>
      <c r="C67" s="343"/>
      <c r="D67" s="343"/>
      <c r="E67" s="343"/>
      <c r="F67" s="343"/>
      <c r="G67" s="343"/>
      <c r="H67" s="343"/>
      <c r="K67" s="140"/>
      <c r="L67" s="104"/>
      <c r="M67" s="104"/>
      <c r="N67" s="104"/>
      <c r="O67" s="104"/>
      <c r="P67" s="104"/>
      <c r="Q67" s="141"/>
      <c r="R67" s="141"/>
      <c r="T67" s="343" t="s">
        <v>66</v>
      </c>
      <c r="U67" s="343"/>
      <c r="V67" s="343"/>
      <c r="W67" s="343"/>
      <c r="Y67" s="343"/>
      <c r="Z67" s="343"/>
      <c r="AA67" s="343"/>
      <c r="AB67" s="343"/>
      <c r="AD67" s="341" t="s">
        <v>205</v>
      </c>
      <c r="AE67" s="341"/>
      <c r="AF67" s="341"/>
      <c r="AG67" s="341"/>
      <c r="AH67" s="51"/>
      <c r="AI67" s="51"/>
    </row>
    <row r="68" spans="1:35" x14ac:dyDescent="0.3">
      <c r="A68" s="132"/>
      <c r="C68" s="263"/>
      <c r="F68" s="54"/>
      <c r="G68" s="54"/>
      <c r="K68" s="104"/>
      <c r="L68" s="104"/>
      <c r="M68" s="104"/>
      <c r="N68" s="104"/>
      <c r="O68" s="104"/>
      <c r="P68" s="104"/>
      <c r="Q68" s="141"/>
      <c r="R68" s="141"/>
      <c r="V68" s="263"/>
      <c r="W68" s="263"/>
      <c r="AD68" s="142"/>
      <c r="AE68" s="143"/>
      <c r="AF68" s="278"/>
      <c r="AG68" s="278"/>
      <c r="AH68" s="51"/>
      <c r="AI68" s="51"/>
    </row>
    <row r="69" spans="1:35" x14ac:dyDescent="0.3">
      <c r="A69" s="132"/>
      <c r="B69" s="51"/>
      <c r="C69" s="133"/>
      <c r="F69" s="134"/>
      <c r="G69" s="134"/>
      <c r="H69" s="51"/>
      <c r="I69" s="51"/>
      <c r="J69" s="133"/>
      <c r="K69" s="104"/>
      <c r="L69" s="104"/>
      <c r="M69" s="104"/>
      <c r="N69" s="104"/>
      <c r="O69" s="104"/>
      <c r="P69" s="104"/>
      <c r="Q69" s="141"/>
      <c r="R69" s="141"/>
      <c r="S69" s="51"/>
      <c r="T69" s="51"/>
      <c r="U69" s="51"/>
      <c r="V69" s="133"/>
      <c r="W69" s="133"/>
      <c r="X69" s="51"/>
      <c r="Y69" s="51"/>
      <c r="Z69" s="51"/>
      <c r="AA69" s="51"/>
      <c r="AB69" s="51"/>
      <c r="AC69" s="51"/>
      <c r="AD69" s="142"/>
      <c r="AE69" s="143"/>
      <c r="AF69" s="143"/>
      <c r="AG69" s="143"/>
      <c r="AH69" s="51"/>
      <c r="AI69" s="51"/>
    </row>
    <row r="70" spans="1:35" x14ac:dyDescent="0.3">
      <c r="A70" s="132"/>
      <c r="B70" s="51"/>
      <c r="C70" s="133"/>
      <c r="F70" s="134"/>
      <c r="G70" s="134"/>
      <c r="H70" s="51"/>
      <c r="I70" s="51"/>
      <c r="J70" s="133"/>
      <c r="K70" s="104"/>
      <c r="L70" s="104"/>
      <c r="M70" s="104"/>
      <c r="N70" s="104"/>
      <c r="O70" s="104"/>
      <c r="P70" s="104"/>
      <c r="Q70" s="141"/>
      <c r="R70" s="141"/>
      <c r="S70" s="51"/>
      <c r="T70" s="51"/>
      <c r="U70" s="51"/>
      <c r="V70" s="133"/>
      <c r="W70" s="133"/>
      <c r="X70" s="51"/>
      <c r="Y70" s="51"/>
      <c r="Z70" s="51"/>
      <c r="AA70" s="51"/>
      <c r="AB70" s="51"/>
      <c r="AC70" s="51"/>
      <c r="AD70" s="142"/>
      <c r="AE70" s="143"/>
      <c r="AF70" s="143"/>
      <c r="AG70" s="143"/>
      <c r="AH70" s="51"/>
      <c r="AI70" s="51"/>
    </row>
    <row r="71" spans="1:35" ht="18.75" customHeight="1" x14ac:dyDescent="0.3">
      <c r="A71" s="137"/>
      <c r="B71" s="316" t="s">
        <v>174</v>
      </c>
      <c r="C71" s="316"/>
      <c r="D71" s="316"/>
      <c r="E71" s="316"/>
      <c r="F71" s="316"/>
      <c r="G71" s="316"/>
      <c r="H71" s="316"/>
      <c r="I71" s="316"/>
      <c r="J71" s="133"/>
      <c r="K71" s="104"/>
      <c r="L71" s="104"/>
      <c r="M71" s="104"/>
      <c r="N71" s="104"/>
      <c r="O71" s="104"/>
      <c r="P71" s="104"/>
      <c r="Q71" s="141"/>
      <c r="R71" s="141"/>
      <c r="S71" s="344" t="s">
        <v>174</v>
      </c>
      <c r="T71" s="344"/>
      <c r="U71" s="344"/>
      <c r="V71" s="344"/>
      <c r="W71" s="344"/>
      <c r="X71" s="51"/>
      <c r="Y71" s="344"/>
      <c r="Z71" s="344"/>
      <c r="AA71" s="344"/>
      <c r="AB71" s="344"/>
      <c r="AC71" s="344"/>
      <c r="AD71" s="337" t="s">
        <v>321</v>
      </c>
      <c r="AE71" s="337"/>
      <c r="AF71" s="337"/>
      <c r="AG71" s="337"/>
      <c r="AH71" s="139"/>
      <c r="AI71" s="139"/>
    </row>
    <row r="72" spans="1:35" x14ac:dyDescent="0.3">
      <c r="M72" s="104"/>
      <c r="N72" s="104"/>
      <c r="O72" s="263"/>
      <c r="P72" s="263"/>
      <c r="Q72" s="141"/>
      <c r="R72" s="141"/>
      <c r="AD72" s="337"/>
      <c r="AE72" s="337"/>
      <c r="AF72" s="337"/>
      <c r="AG72" s="337"/>
    </row>
    <row r="73" spans="1:35" x14ac:dyDescent="0.3">
      <c r="M73" s="104"/>
      <c r="N73" s="104"/>
      <c r="O73" s="104"/>
      <c r="P73" s="104"/>
      <c r="Q73" s="141"/>
      <c r="R73" s="141"/>
    </row>
    <row r="74" spans="1:35" x14ac:dyDescent="0.3">
      <c r="M74" s="104"/>
      <c r="N74" s="104"/>
      <c r="O74" s="104"/>
      <c r="P74" s="104"/>
      <c r="Q74" s="141"/>
      <c r="R74" s="141"/>
    </row>
    <row r="75" spans="1:35" x14ac:dyDescent="0.3">
      <c r="M75" s="104"/>
      <c r="N75" s="104"/>
      <c r="O75" s="104"/>
      <c r="P75" s="104"/>
      <c r="Q75" s="141"/>
      <c r="R75" s="141"/>
    </row>
    <row r="76" spans="1:35" x14ac:dyDescent="0.3">
      <c r="M76" s="104"/>
      <c r="N76" s="104"/>
      <c r="O76" s="104"/>
      <c r="P76" s="104"/>
      <c r="Q76" s="141"/>
      <c r="R76" s="141"/>
    </row>
    <row r="77" spans="1:35" x14ac:dyDescent="0.3">
      <c r="Q77" s="141"/>
      <c r="R77" s="141"/>
    </row>
  </sheetData>
  <mergeCells count="50">
    <mergeCell ref="B58:E58"/>
    <mergeCell ref="A1:I1"/>
    <mergeCell ref="AF1:AH1"/>
    <mergeCell ref="A2:I2"/>
    <mergeCell ref="A4:AI4"/>
    <mergeCell ref="A5:A6"/>
    <mergeCell ref="B5:B6"/>
    <mergeCell ref="C5:C6"/>
    <mergeCell ref="F5:F6"/>
    <mergeCell ref="G5:G6"/>
    <mergeCell ref="H5:I5"/>
    <mergeCell ref="AG5:AG6"/>
    <mergeCell ref="AH5:AH6"/>
    <mergeCell ref="Q5:Q6"/>
    <mergeCell ref="S5:T5"/>
    <mergeCell ref="AI5:AI6"/>
    <mergeCell ref="A63:B63"/>
    <mergeCell ref="A64:AA64"/>
    <mergeCell ref="X5:Y5"/>
    <mergeCell ref="AF5:AF6"/>
    <mergeCell ref="W5:W6"/>
    <mergeCell ref="D5:D6"/>
    <mergeCell ref="E5:E6"/>
    <mergeCell ref="H7:I7"/>
    <mergeCell ref="J7:K7"/>
    <mergeCell ref="N7:O7"/>
    <mergeCell ref="S7:T7"/>
    <mergeCell ref="U7:V7"/>
    <mergeCell ref="J5:K5"/>
    <mergeCell ref="L5:L6"/>
    <mergeCell ref="M5:M6"/>
    <mergeCell ref="R5:R6"/>
    <mergeCell ref="B66:H66"/>
    <mergeCell ref="B71:I71"/>
    <mergeCell ref="B67:H67"/>
    <mergeCell ref="Y71:AC71"/>
    <mergeCell ref="Y66:AB66"/>
    <mergeCell ref="T66:W66"/>
    <mergeCell ref="T67:W67"/>
    <mergeCell ref="S71:W71"/>
    <mergeCell ref="AD72:AG72"/>
    <mergeCell ref="AC65:AI65"/>
    <mergeCell ref="AD71:AG71"/>
    <mergeCell ref="N5:P5"/>
    <mergeCell ref="U5:V5"/>
    <mergeCell ref="AD66:AG66"/>
    <mergeCell ref="AD67:AG67"/>
    <mergeCell ref="AC5:AD5"/>
    <mergeCell ref="Y67:AB67"/>
    <mergeCell ref="AA5:AB5"/>
  </mergeCells>
  <phoneticPr fontId="18" type="noConversion"/>
  <printOptions horizontalCentered="1"/>
  <pageMargins left="0.24" right="0" top="0.25" bottom="0.2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CHUYỂN NH</vt:lpstr>
      <vt:lpstr>MẪU 09</vt:lpstr>
      <vt:lpstr>luong 8-2024</vt:lpstr>
      <vt:lpstr>'CHUYỂN NH'!Print_Titles</vt:lpstr>
      <vt:lpstr>'luong 8-2024'!Print_Titles</vt:lpstr>
      <vt:lpstr>'MẪU 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Son</dc:creator>
  <cp:lastModifiedBy>KTTHOSON</cp:lastModifiedBy>
  <cp:revision>11</cp:revision>
  <cp:lastPrinted>2024-08-02T02:56:27Z</cp:lastPrinted>
  <dcterms:created xsi:type="dcterms:W3CDTF">2002-01-01T03:39:55Z</dcterms:created>
  <dcterms:modified xsi:type="dcterms:W3CDTF">2024-08-05T13:22:52Z</dcterms:modified>
</cp:coreProperties>
</file>