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UONG\LUONG 2024\"/>
    </mc:Choice>
  </mc:AlternateContent>
  <bookViews>
    <workbookView xWindow="0" yWindow="0" windowWidth="20490" windowHeight="7650" activeTab="2"/>
  </bookViews>
  <sheets>
    <sheet name="CHUYỂN NH" sheetId="32" r:id="rId1"/>
    <sheet name="MẪU 09" sheetId="31" r:id="rId2"/>
    <sheet name="luong 9-2024" sheetId="27" r:id="rId3"/>
    <sheet name="tl 1800" sheetId="37" r:id="rId4"/>
    <sheet name="tl2340" sheetId="38" r:id="rId5"/>
    <sheet name="tl Dao" sheetId="40" r:id="rId6"/>
    <sheet name="T8-24" sheetId="39" r:id="rId7"/>
  </sheets>
  <externalReferences>
    <externalReference r:id="rId8"/>
    <externalReference r:id="rId9"/>
  </externalReferences>
  <definedNames>
    <definedName name="MANGACH" localSheetId="0">#REF!</definedName>
    <definedName name="MANGACH" localSheetId="2">#REF!</definedName>
    <definedName name="MANGACH" localSheetId="1">#REF!</definedName>
    <definedName name="MANGACH">#REF!</definedName>
    <definedName name="_xlnm.Print_Titles" localSheetId="0">'CHUYỂN NH'!$8:$8</definedName>
    <definedName name="_xlnm.Print_Titles" localSheetId="2">'luong 9-2024'!$5:$7</definedName>
    <definedName name="_xlnm.Print_Titles" localSheetId="1">'MẪU 09'!$10:$13</definedName>
  </definedNames>
  <calcPr calcId="162913"/>
</workbook>
</file>

<file path=xl/calcChain.xml><?xml version="1.0" encoding="utf-8"?>
<calcChain xmlns="http://schemas.openxmlformats.org/spreadsheetml/2006/main">
  <c r="E58" i="32" l="1"/>
  <c r="E59" i="32"/>
  <c r="E60" i="32"/>
  <c r="E61" i="32"/>
  <c r="E62" i="32"/>
  <c r="D60" i="32"/>
  <c r="D61" i="32"/>
  <c r="D62" i="32"/>
  <c r="D59" i="32"/>
  <c r="D58"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16" i="32"/>
  <c r="D17" i="32"/>
  <c r="D18" i="32"/>
  <c r="D19" i="32"/>
  <c r="D20" i="32"/>
  <c r="D21" i="32"/>
  <c r="D22" i="32"/>
  <c r="D23" i="32"/>
  <c r="D24" i="32"/>
  <c r="D25" i="32"/>
  <c r="D26" i="32"/>
  <c r="D10" i="32"/>
  <c r="D11" i="32"/>
  <c r="D12" i="32"/>
  <c r="D13" i="32"/>
  <c r="D14" i="32"/>
  <c r="D15" i="32"/>
  <c r="D9" i="32"/>
  <c r="Q16" i="31" l="1"/>
  <c r="Q28" i="31"/>
  <c r="AJ25" i="27"/>
  <c r="AJ26" i="27"/>
  <c r="AJ27" i="27"/>
  <c r="AJ28" i="27"/>
  <c r="AJ29" i="27"/>
  <c r="AJ30" i="27"/>
  <c r="AJ16" i="27"/>
  <c r="AJ17" i="27"/>
  <c r="AJ18" i="27"/>
  <c r="AJ19" i="27"/>
  <c r="AJ20" i="27"/>
  <c r="AJ21" i="27"/>
  <c r="AJ22" i="27"/>
  <c r="AJ23" i="27"/>
  <c r="AJ24" i="27"/>
  <c r="AJ10" i="27"/>
  <c r="AJ11" i="27"/>
  <c r="AJ12" i="27"/>
  <c r="AJ13" i="27"/>
  <c r="AJ14" i="27"/>
  <c r="AJ15" i="27"/>
  <c r="AJ9" i="27"/>
  <c r="F65" i="31" l="1"/>
  <c r="E65" i="31" s="1"/>
  <c r="F28" i="31"/>
  <c r="F16" i="31"/>
  <c r="F17" i="31"/>
  <c r="F18" i="31"/>
  <c r="F19" i="31"/>
  <c r="F20" i="31"/>
  <c r="F21" i="31"/>
  <c r="F22" i="31"/>
  <c r="F23" i="31"/>
  <c r="F24" i="31"/>
  <c r="F25" i="31"/>
  <c r="F26" i="31"/>
  <c r="F27" i="31"/>
  <c r="F29" i="31"/>
  <c r="F30" i="31"/>
  <c r="F31" i="31"/>
  <c r="F32" i="31"/>
  <c r="F33" i="31"/>
  <c r="F34" i="31"/>
  <c r="F35" i="31"/>
  <c r="F36" i="31"/>
  <c r="F37" i="31"/>
  <c r="F38" i="31"/>
  <c r="F39" i="31"/>
  <c r="F40" i="31"/>
  <c r="F41" i="31"/>
  <c r="F42" i="31"/>
  <c r="F43" i="31"/>
  <c r="F44" i="31"/>
  <c r="F45" i="31"/>
  <c r="F46" i="31"/>
  <c r="F47" i="31"/>
  <c r="F48" i="31"/>
  <c r="F49" i="31"/>
  <c r="F50" i="31"/>
  <c r="F51" i="31"/>
  <c r="F52" i="31"/>
  <c r="F53" i="31"/>
  <c r="F54" i="31"/>
  <c r="F55" i="31"/>
  <c r="F56" i="31"/>
  <c r="F57" i="31"/>
  <c r="F58" i="31"/>
  <c r="F59" i="31"/>
  <c r="F60" i="31"/>
  <c r="F61" i="31"/>
  <c r="F62" i="31"/>
  <c r="F63" i="31"/>
  <c r="F64" i="31"/>
  <c r="Q29" i="31"/>
  <c r="Q30" i="31"/>
  <c r="Q31" i="31"/>
  <c r="Q32" i="31"/>
  <c r="Q33" i="31"/>
  <c r="Q34" i="31"/>
  <c r="Q35" i="31"/>
  <c r="Q36" i="31"/>
  <c r="Q37" i="31"/>
  <c r="Q38" i="31"/>
  <c r="Q39" i="31"/>
  <c r="Q40" i="31"/>
  <c r="Q41" i="31"/>
  <c r="Q42" i="31"/>
  <c r="Q43" i="31"/>
  <c r="Q44" i="31"/>
  <c r="Q45" i="31"/>
  <c r="Q46" i="31"/>
  <c r="Q47" i="31"/>
  <c r="Q48" i="31"/>
  <c r="Q49" i="31"/>
  <c r="Q50" i="31"/>
  <c r="Q51" i="31"/>
  <c r="Q52" i="31"/>
  <c r="Q53" i="31"/>
  <c r="Q54" i="31"/>
  <c r="Q55" i="31"/>
  <c r="Q56" i="31"/>
  <c r="Q57" i="31"/>
  <c r="Q58" i="31"/>
  <c r="Q59" i="31"/>
  <c r="Q60" i="31"/>
  <c r="Q61" i="31"/>
  <c r="Q62" i="31"/>
  <c r="Q63" i="31"/>
  <c r="Q64" i="31"/>
  <c r="Q17" i="31"/>
  <c r="Q18" i="31"/>
  <c r="Q19" i="31"/>
  <c r="Q20" i="31"/>
  <c r="Q21" i="31"/>
  <c r="Q22" i="31"/>
  <c r="Q23" i="31"/>
  <c r="Q24" i="31"/>
  <c r="Q25" i="31"/>
  <c r="Q26" i="31"/>
  <c r="Q27" i="31"/>
  <c r="AJ8" i="27"/>
  <c r="AJ39" i="27"/>
  <c r="AJ40" i="27"/>
  <c r="AJ41" i="27"/>
  <c r="AJ42" i="27"/>
  <c r="AJ43" i="27"/>
  <c r="AJ44" i="27"/>
  <c r="AJ45" i="27"/>
  <c r="AJ46" i="27"/>
  <c r="AJ47" i="27"/>
  <c r="AJ48" i="27"/>
  <c r="AJ49" i="27"/>
  <c r="AJ50" i="27"/>
  <c r="AJ51" i="27"/>
  <c r="AJ52" i="27"/>
  <c r="AJ53" i="27"/>
  <c r="AJ54" i="27"/>
  <c r="AJ55" i="27"/>
  <c r="AJ56" i="27"/>
  <c r="AJ57" i="27"/>
  <c r="AJ32" i="27"/>
  <c r="AJ33" i="27"/>
  <c r="AJ34" i="27"/>
  <c r="AJ35" i="27"/>
  <c r="AJ36" i="27"/>
  <c r="AJ37" i="27"/>
  <c r="AJ38" i="27"/>
  <c r="AJ31" i="27"/>
  <c r="H68" i="31"/>
  <c r="H69" i="31"/>
  <c r="H70" i="31"/>
  <c r="H67" i="31"/>
  <c r="AM16" i="40"/>
  <c r="AM10" i="40"/>
  <c r="V10" i="40"/>
  <c r="H10" i="40"/>
  <c r="G10" i="40"/>
  <c r="V9" i="40"/>
  <c r="T9" i="40"/>
  <c r="R9" i="40"/>
  <c r="R8" i="40" s="1"/>
  <c r="R10" i="40" s="1"/>
  <c r="O9" i="40"/>
  <c r="P9" i="40" s="1"/>
  <c r="P8" i="40" s="1"/>
  <c r="P10" i="40" s="1"/>
  <c r="K9" i="40"/>
  <c r="L9" i="40" s="1"/>
  <c r="AJ8" i="40"/>
  <c r="AG8" i="40"/>
  <c r="AG10" i="40" s="1"/>
  <c r="AF8" i="40"/>
  <c r="AF10" i="40" s="1"/>
  <c r="W8" i="40"/>
  <c r="W10" i="40" s="1"/>
  <c r="V8" i="40"/>
  <c r="U8" i="40"/>
  <c r="U10" i="40" s="1"/>
  <c r="T8" i="40"/>
  <c r="T10" i="40" s="1"/>
  <c r="O8" i="40"/>
  <c r="O10" i="40" s="1"/>
  <c r="I8" i="40"/>
  <c r="I10" i="40" s="1"/>
  <c r="G8" i="40"/>
  <c r="F8" i="40"/>
  <c r="F10" i="40" s="1"/>
  <c r="AM7" i="40"/>
  <c r="AK7" i="40"/>
  <c r="AJ6" i="40"/>
  <c r="AT5" i="40"/>
  <c r="F15" i="31" l="1"/>
  <c r="AA9" i="40"/>
  <c r="AA8" i="40" s="1"/>
  <c r="AA10" i="40" s="1"/>
  <c r="M9" i="40"/>
  <c r="Y9" i="40"/>
  <c r="Y8" i="40" s="1"/>
  <c r="Y10" i="40" s="1"/>
  <c r="X9" i="40"/>
  <c r="X8" i="40" s="1"/>
  <c r="X10" i="40" s="1"/>
  <c r="AE9" i="40"/>
  <c r="AE8" i="40" s="1"/>
  <c r="AE10" i="40" s="1"/>
  <c r="L8" i="40"/>
  <c r="L10" i="40" s="1"/>
  <c r="AC9" i="40"/>
  <c r="AC8" i="40" s="1"/>
  <c r="AC10" i="40" s="1"/>
  <c r="AD9" i="40"/>
  <c r="AD8" i="40" s="1"/>
  <c r="AD10" i="40" s="1"/>
  <c r="AB9" i="40"/>
  <c r="AB8" i="40" s="1"/>
  <c r="AB10" i="40" s="1"/>
  <c r="Z9" i="40"/>
  <c r="Z8" i="40" s="1"/>
  <c r="Z10" i="40" s="1"/>
  <c r="AO8" i="40"/>
  <c r="K8" i="40"/>
  <c r="K10" i="40" s="1"/>
  <c r="AX8" i="40"/>
  <c r="AU8" i="40" l="1"/>
  <c r="AT8" i="40"/>
  <c r="AH9" i="40"/>
  <c r="AH8" i="40" s="1"/>
  <c r="M8" i="40"/>
  <c r="M10" i="40" s="1"/>
  <c r="AH10" i="40" l="1"/>
  <c r="AQ6" i="40"/>
  <c r="AY62" i="38" l="1"/>
  <c r="AH62" i="38"/>
  <c r="Z62" i="38"/>
  <c r="Y62" i="38"/>
  <c r="X62" i="38"/>
  <c r="W62" i="38"/>
  <c r="P62" i="38"/>
  <c r="O62" i="38"/>
  <c r="N62" i="38"/>
  <c r="M62" i="38"/>
  <c r="L62" i="38"/>
  <c r="G62" i="38"/>
  <c r="F62" i="38"/>
  <c r="E62" i="38"/>
  <c r="D62" i="38"/>
  <c r="BA61" i="38"/>
  <c r="BA62" i="38" s="1"/>
  <c r="AK61" i="38"/>
  <c r="AI61" i="38"/>
  <c r="AL61" i="38" s="1"/>
  <c r="AM61" i="38" s="1"/>
  <c r="V61" i="38"/>
  <c r="U61" i="38"/>
  <c r="AE61" i="38" s="1"/>
  <c r="AN61" i="38" s="1"/>
  <c r="AO61" i="38" s="1"/>
  <c r="T61" i="38"/>
  <c r="K61" i="38"/>
  <c r="J61" i="38"/>
  <c r="AD61" i="38" s="1"/>
  <c r="AJ61" i="38" s="1"/>
  <c r="AK60" i="38"/>
  <c r="AK62" i="38" s="1"/>
  <c r="V60" i="38"/>
  <c r="V62" i="38" s="1"/>
  <c r="U60" i="38"/>
  <c r="T60" i="38"/>
  <c r="T62" i="38" s="1"/>
  <c r="K60" i="38"/>
  <c r="K62" i="38" s="1"/>
  <c r="J60" i="38"/>
  <c r="J62" i="38" s="1"/>
  <c r="BD11" i="38"/>
  <c r="BB11" i="38"/>
  <c r="BA11" i="38"/>
  <c r="AH11" i="38"/>
  <c r="Z11" i="38"/>
  <c r="Y11" i="38"/>
  <c r="X11" i="38"/>
  <c r="W11" i="38"/>
  <c r="U11" i="38"/>
  <c r="T11" i="38"/>
  <c r="P11" i="38"/>
  <c r="O11" i="38"/>
  <c r="N11" i="38"/>
  <c r="M11" i="38"/>
  <c r="L11" i="38"/>
  <c r="H11" i="38"/>
  <c r="G11" i="38"/>
  <c r="F11" i="38"/>
  <c r="E11" i="38"/>
  <c r="D11" i="38"/>
  <c r="AN10" i="38"/>
  <c r="AO10" i="38" s="1"/>
  <c r="AK10" i="38"/>
  <c r="AE10" i="38"/>
  <c r="AD10" i="38"/>
  <c r="AJ10" i="38" s="1"/>
  <c r="V10" i="38"/>
  <c r="V11" i="38" s="1"/>
  <c r="U10" i="38"/>
  <c r="T10" i="38"/>
  <c r="K10" i="38"/>
  <c r="J10" i="38"/>
  <c r="AB9" i="38"/>
  <c r="AB11" i="38" s="1"/>
  <c r="V9" i="38"/>
  <c r="AI9" i="38" s="1"/>
  <c r="U9" i="38"/>
  <c r="T9" i="38"/>
  <c r="K9" i="38"/>
  <c r="K11" i="38" s="1"/>
  <c r="H9" i="38"/>
  <c r="J9" i="38" s="1"/>
  <c r="AY64" i="37"/>
  <c r="AH64" i="37"/>
  <c r="Z64" i="37"/>
  <c r="Y64" i="37"/>
  <c r="X64" i="37"/>
  <c r="W64" i="37"/>
  <c r="P64" i="37"/>
  <c r="O64" i="37"/>
  <c r="N64" i="37"/>
  <c r="M64" i="37"/>
  <c r="L64" i="37"/>
  <c r="G64" i="37"/>
  <c r="F64" i="37"/>
  <c r="E64" i="37"/>
  <c r="D64" i="37"/>
  <c r="BA63" i="37"/>
  <c r="BA64" i="37" s="1"/>
  <c r="AK63" i="37"/>
  <c r="AI63" i="37"/>
  <c r="V63" i="37"/>
  <c r="U63" i="37"/>
  <c r="AE63" i="37" s="1"/>
  <c r="AN63" i="37" s="1"/>
  <c r="AO63" i="37" s="1"/>
  <c r="T63" i="37"/>
  <c r="AD63" i="37" s="1"/>
  <c r="AJ63" i="37" s="1"/>
  <c r="AL63" i="37" s="1"/>
  <c r="AM63" i="37" s="1"/>
  <c r="K63" i="37"/>
  <c r="J63" i="37"/>
  <c r="AK62" i="37"/>
  <c r="AK64" i="37" s="1"/>
  <c r="V62" i="37"/>
  <c r="V64" i="37" s="1"/>
  <c r="U62" i="37"/>
  <c r="U64" i="37" s="1"/>
  <c r="T62" i="37"/>
  <c r="T64" i="37" s="1"/>
  <c r="K62" i="37"/>
  <c r="K64" i="37" s="1"/>
  <c r="J62" i="37"/>
  <c r="J64" i="37" s="1"/>
  <c r="BD11" i="37"/>
  <c r="BB11" i="37"/>
  <c r="BA11" i="37"/>
  <c r="AY11" i="37"/>
  <c r="AH11" i="37"/>
  <c r="Z11" i="37"/>
  <c r="Y11" i="37"/>
  <c r="X11" i="37"/>
  <c r="W11" i="37"/>
  <c r="U11" i="37"/>
  <c r="T11" i="37"/>
  <c r="P11" i="37"/>
  <c r="O11" i="37"/>
  <c r="N11" i="37"/>
  <c r="M11" i="37"/>
  <c r="L11" i="37"/>
  <c r="G11" i="37"/>
  <c r="F11" i="37"/>
  <c r="E11" i="37"/>
  <c r="D11" i="37"/>
  <c r="BA10" i="37"/>
  <c r="AK10" i="37"/>
  <c r="AI10" i="37"/>
  <c r="AE10" i="37"/>
  <c r="AN10" i="37" s="1"/>
  <c r="AO10" i="37" s="1"/>
  <c r="V10" i="37"/>
  <c r="U10" i="37"/>
  <c r="T10" i="37"/>
  <c r="K10" i="37"/>
  <c r="J10" i="37"/>
  <c r="AD10" i="37" s="1"/>
  <c r="AJ10" i="37" s="1"/>
  <c r="AK9" i="37"/>
  <c r="AK11" i="37" s="1"/>
  <c r="AI9" i="37"/>
  <c r="AI11" i="37" s="1"/>
  <c r="V9" i="37"/>
  <c r="V11" i="37" s="1"/>
  <c r="U9" i="37"/>
  <c r="T9" i="37"/>
  <c r="AD9" i="37" s="1"/>
  <c r="K9" i="37"/>
  <c r="K11" i="37" s="1"/>
  <c r="J9" i="37"/>
  <c r="J11" i="37" s="1"/>
  <c r="AM69" i="39"/>
  <c r="AM63" i="39"/>
  <c r="N63" i="39"/>
  <c r="AX62" i="39"/>
  <c r="AE62" i="39"/>
  <c r="AA62" i="39"/>
  <c r="Y62" i="39"/>
  <c r="X62" i="39"/>
  <c r="R62" i="39"/>
  <c r="P62" i="39"/>
  <c r="L62" i="39"/>
  <c r="AD62" i="39" s="1"/>
  <c r="AW61" i="39"/>
  <c r="AE61" i="39"/>
  <c r="AD61" i="39"/>
  <c r="AC61" i="39"/>
  <c r="Z61" i="39"/>
  <c r="Y61" i="39"/>
  <c r="R61" i="39"/>
  <c r="P61" i="39"/>
  <c r="M61" i="39"/>
  <c r="AH61" i="39" s="1"/>
  <c r="L61" i="39"/>
  <c r="AB61" i="39" s="1"/>
  <c r="AB60" i="39"/>
  <c r="R60" i="39"/>
  <c r="P60" i="39"/>
  <c r="L60" i="39"/>
  <c r="AE59" i="39"/>
  <c r="AA59" i="39"/>
  <c r="Y59" i="39"/>
  <c r="X59" i="39"/>
  <c r="R59" i="39"/>
  <c r="P59" i="39"/>
  <c r="L59" i="39"/>
  <c r="AD59" i="39" s="1"/>
  <c r="AJ58" i="39"/>
  <c r="AI58" i="39"/>
  <c r="AI63" i="39" s="1"/>
  <c r="AG58" i="39"/>
  <c r="AG63" i="39" s="1"/>
  <c r="AF58" i="39"/>
  <c r="W58" i="39"/>
  <c r="V58" i="39"/>
  <c r="U58" i="39"/>
  <c r="T58" i="39"/>
  <c r="S58" i="39"/>
  <c r="R58" i="39"/>
  <c r="Q58" i="39"/>
  <c r="P58" i="39"/>
  <c r="O58" i="39"/>
  <c r="N58" i="39"/>
  <c r="F58" i="39"/>
  <c r="V57" i="39"/>
  <c r="T57" i="39"/>
  <c r="R57" i="39"/>
  <c r="O57" i="39"/>
  <c r="P57" i="39" s="1"/>
  <c r="K57" i="39"/>
  <c r="L57" i="39" s="1"/>
  <c r="X57" i="39" s="1"/>
  <c r="V56" i="39"/>
  <c r="T56" i="39"/>
  <c r="R56" i="39"/>
  <c r="O56" i="39"/>
  <c r="P56" i="39" s="1"/>
  <c r="L56" i="39"/>
  <c r="K56" i="39"/>
  <c r="Z55" i="39"/>
  <c r="V55" i="39"/>
  <c r="T55" i="39"/>
  <c r="R55" i="39"/>
  <c r="P55" i="39"/>
  <c r="O55" i="39"/>
  <c r="M55" i="39"/>
  <c r="K55" i="39"/>
  <c r="L55" i="39" s="1"/>
  <c r="AA54" i="39"/>
  <c r="V54" i="39"/>
  <c r="T54" i="39"/>
  <c r="R54" i="39"/>
  <c r="O54" i="39"/>
  <c r="P54" i="39" s="1"/>
  <c r="L54" i="39"/>
  <c r="Z54" i="39" s="1"/>
  <c r="K54" i="39"/>
  <c r="AW53" i="39"/>
  <c r="AC53" i="39"/>
  <c r="V53" i="39"/>
  <c r="T53" i="39"/>
  <c r="R53" i="39"/>
  <c r="O53" i="39"/>
  <c r="P53" i="39" s="1"/>
  <c r="K53" i="39"/>
  <c r="L53" i="39" s="1"/>
  <c r="AD52" i="39"/>
  <c r="AB52" i="39"/>
  <c r="V52" i="39"/>
  <c r="T52" i="39"/>
  <c r="R52" i="39"/>
  <c r="P52" i="39"/>
  <c r="O52" i="39"/>
  <c r="K52" i="39"/>
  <c r="L52" i="39" s="1"/>
  <c r="AE51" i="39"/>
  <c r="AC51" i="39"/>
  <c r="V51" i="39"/>
  <c r="T51" i="39"/>
  <c r="R51" i="39"/>
  <c r="P51" i="39"/>
  <c r="O51" i="39"/>
  <c r="L51" i="39"/>
  <c r="AD51" i="39" s="1"/>
  <c r="K51" i="39"/>
  <c r="AD50" i="39"/>
  <c r="V50" i="39"/>
  <c r="T50" i="39"/>
  <c r="R50" i="39"/>
  <c r="O50" i="39"/>
  <c r="P50" i="39" s="1"/>
  <c r="K50" i="39"/>
  <c r="L50" i="39" s="1"/>
  <c r="AW49" i="39"/>
  <c r="AH49" i="39"/>
  <c r="AE49" i="39"/>
  <c r="AD49" i="39"/>
  <c r="AC49" i="39"/>
  <c r="AB49" i="39"/>
  <c r="AA49" i="39"/>
  <c r="Z49" i="39"/>
  <c r="Y49" i="39"/>
  <c r="X49" i="39"/>
  <c r="V49" i="39"/>
  <c r="T49" i="39"/>
  <c r="O49" i="39"/>
  <c r="P49" i="39" s="1"/>
  <c r="M49" i="39"/>
  <c r="AW48" i="39"/>
  <c r="V48" i="39"/>
  <c r="T48" i="39"/>
  <c r="R48" i="39"/>
  <c r="O48" i="39"/>
  <c r="P48" i="39" s="1"/>
  <c r="L48" i="39"/>
  <c r="AE48" i="39" s="1"/>
  <c r="K48" i="39"/>
  <c r="AW47" i="39"/>
  <c r="AA47" i="39"/>
  <c r="Y47" i="39"/>
  <c r="V47" i="39"/>
  <c r="T47" i="39"/>
  <c r="R47" i="39"/>
  <c r="O47" i="39"/>
  <c r="P47" i="39" s="1"/>
  <c r="L47" i="39"/>
  <c r="K47" i="39"/>
  <c r="AD46" i="39"/>
  <c r="AB46" i="39"/>
  <c r="Z46" i="39"/>
  <c r="V46" i="39"/>
  <c r="T46" i="39"/>
  <c r="R46" i="39"/>
  <c r="P46" i="39"/>
  <c r="O46" i="39"/>
  <c r="M46" i="39"/>
  <c r="L46" i="39"/>
  <c r="AA46" i="39" s="1"/>
  <c r="K46" i="39"/>
  <c r="V45" i="39"/>
  <c r="T45" i="39"/>
  <c r="R45" i="39"/>
  <c r="O45" i="39"/>
  <c r="P45" i="39" s="1"/>
  <c r="K45" i="39"/>
  <c r="L45" i="39" s="1"/>
  <c r="AC45" i="39" s="1"/>
  <c r="V44" i="39"/>
  <c r="T44" i="39"/>
  <c r="R44" i="39"/>
  <c r="P44" i="39"/>
  <c r="O44" i="39"/>
  <c r="K44" i="39"/>
  <c r="L44" i="39" s="1"/>
  <c r="AD44" i="39" s="1"/>
  <c r="AE43" i="39"/>
  <c r="AC43" i="39"/>
  <c r="V43" i="39"/>
  <c r="T43" i="39"/>
  <c r="R43" i="39"/>
  <c r="P43" i="39"/>
  <c r="O43" i="39"/>
  <c r="L43" i="39"/>
  <c r="AD43" i="39" s="1"/>
  <c r="K43" i="39"/>
  <c r="AD42" i="39"/>
  <c r="X42" i="39"/>
  <c r="V42" i="39"/>
  <c r="T42" i="39"/>
  <c r="R42" i="39"/>
  <c r="O42" i="39"/>
  <c r="P42" i="39" s="1"/>
  <c r="K42" i="39"/>
  <c r="L42" i="39" s="1"/>
  <c r="V41" i="39"/>
  <c r="T41" i="39"/>
  <c r="R41" i="39"/>
  <c r="O41" i="39"/>
  <c r="P41" i="39" s="1"/>
  <c r="L41" i="39"/>
  <c r="Y41" i="39" s="1"/>
  <c r="K41" i="39"/>
  <c r="X40" i="39"/>
  <c r="V40" i="39"/>
  <c r="T40" i="39"/>
  <c r="R40" i="39"/>
  <c r="P40" i="39"/>
  <c r="O40" i="39"/>
  <c r="K40" i="39"/>
  <c r="L40" i="39" s="1"/>
  <c r="M40" i="39" s="1"/>
  <c r="AA39" i="39"/>
  <c r="Y39" i="39"/>
  <c r="V39" i="39"/>
  <c r="T39" i="39"/>
  <c r="R39" i="39"/>
  <c r="O39" i="39"/>
  <c r="P39" i="39" s="1"/>
  <c r="L39" i="39"/>
  <c r="K39" i="39"/>
  <c r="AD38" i="39"/>
  <c r="AB38" i="39"/>
  <c r="Z38" i="39"/>
  <c r="V38" i="39"/>
  <c r="T38" i="39"/>
  <c r="R38" i="39"/>
  <c r="P38" i="39"/>
  <c r="O38" i="39"/>
  <c r="M38" i="39"/>
  <c r="L38" i="39"/>
  <c r="AA38" i="39" s="1"/>
  <c r="K38" i="39"/>
  <c r="AC37" i="39"/>
  <c r="AA37" i="39"/>
  <c r="V37" i="39"/>
  <c r="T37" i="39"/>
  <c r="R37" i="39"/>
  <c r="O37" i="39"/>
  <c r="P37" i="39" s="1"/>
  <c r="K37" i="39"/>
  <c r="L37" i="39" s="1"/>
  <c r="AD36" i="39"/>
  <c r="AB36" i="39"/>
  <c r="V36" i="39"/>
  <c r="T36" i="39"/>
  <c r="R36" i="39"/>
  <c r="P36" i="39"/>
  <c r="O36" i="39"/>
  <c r="K36" i="39"/>
  <c r="L36" i="39" s="1"/>
  <c r="AE35" i="39"/>
  <c r="AC35" i="39"/>
  <c r="V35" i="39"/>
  <c r="T35" i="39"/>
  <c r="R35" i="39"/>
  <c r="P35" i="39"/>
  <c r="O35" i="39"/>
  <c r="L35" i="39"/>
  <c r="AD35" i="39" s="1"/>
  <c r="K35" i="39"/>
  <c r="AD34" i="39"/>
  <c r="V34" i="39"/>
  <c r="T34" i="39"/>
  <c r="R34" i="39"/>
  <c r="O34" i="39"/>
  <c r="P34" i="39" s="1"/>
  <c r="K34" i="39"/>
  <c r="L34" i="39" s="1"/>
  <c r="AE33" i="39"/>
  <c r="Y33" i="39"/>
  <c r="V33" i="39"/>
  <c r="T33" i="39"/>
  <c r="R33" i="39"/>
  <c r="O33" i="39"/>
  <c r="P33" i="39" s="1"/>
  <c r="L33" i="39"/>
  <c r="K33" i="39"/>
  <c r="AB32" i="39"/>
  <c r="V32" i="39"/>
  <c r="T32" i="39"/>
  <c r="R32" i="39"/>
  <c r="P32" i="39"/>
  <c r="O32" i="39"/>
  <c r="M32" i="39"/>
  <c r="K32" i="39"/>
  <c r="L32" i="39" s="1"/>
  <c r="X32" i="39" s="1"/>
  <c r="AA31" i="39"/>
  <c r="Y31" i="39"/>
  <c r="V31" i="39"/>
  <c r="T31" i="39"/>
  <c r="R31" i="39"/>
  <c r="O31" i="39"/>
  <c r="P31" i="39" s="1"/>
  <c r="L31" i="39"/>
  <c r="AC31" i="39" s="1"/>
  <c r="K31" i="39"/>
  <c r="AD30" i="39"/>
  <c r="AB30" i="39"/>
  <c r="Y30" i="39"/>
  <c r="V30" i="39"/>
  <c r="T30" i="39"/>
  <c r="R30" i="39"/>
  <c r="P30" i="39"/>
  <c r="O30" i="39"/>
  <c r="M30" i="39"/>
  <c r="L30" i="39"/>
  <c r="K30" i="39"/>
  <c r="AT29" i="39"/>
  <c r="AE29" i="39"/>
  <c r="AB29" i="39"/>
  <c r="Y29" i="39"/>
  <c r="V29" i="39"/>
  <c r="T29" i="39"/>
  <c r="R29" i="39"/>
  <c r="P29" i="39"/>
  <c r="O29" i="39"/>
  <c r="L29" i="39"/>
  <c r="K29" i="39"/>
  <c r="X28" i="39"/>
  <c r="V28" i="39"/>
  <c r="T28" i="39"/>
  <c r="R28" i="39"/>
  <c r="O28" i="39"/>
  <c r="P28" i="39" s="1"/>
  <c r="K28" i="39"/>
  <c r="L28" i="39" s="1"/>
  <c r="AP27" i="39"/>
  <c r="V27" i="39"/>
  <c r="T27" i="39"/>
  <c r="R27" i="39"/>
  <c r="O27" i="39"/>
  <c r="P27" i="39" s="1"/>
  <c r="K27" i="39"/>
  <c r="L27" i="39" s="1"/>
  <c r="AE26" i="39"/>
  <c r="W26" i="39"/>
  <c r="W8" i="39" s="1"/>
  <c r="AO16" i="39" s="1"/>
  <c r="V26" i="39"/>
  <c r="T26" i="39"/>
  <c r="R26" i="39"/>
  <c r="P26" i="39"/>
  <c r="O26" i="39"/>
  <c r="K26" i="39"/>
  <c r="L26" i="39" s="1"/>
  <c r="AD25" i="39"/>
  <c r="X25" i="39"/>
  <c r="V25" i="39"/>
  <c r="T25" i="39"/>
  <c r="R25" i="39"/>
  <c r="O25" i="39"/>
  <c r="P25" i="39" s="1"/>
  <c r="M25" i="39"/>
  <c r="K25" i="39"/>
  <c r="L25" i="39" s="1"/>
  <c r="Z25" i="39" s="1"/>
  <c r="AB24" i="39"/>
  <c r="V24" i="39"/>
  <c r="T24" i="39"/>
  <c r="R24" i="39"/>
  <c r="P24" i="39"/>
  <c r="O24" i="39"/>
  <c r="L24" i="39"/>
  <c r="K24" i="39"/>
  <c r="AB23" i="39"/>
  <c r="AA23" i="39"/>
  <c r="Y23" i="39"/>
  <c r="V23" i="39"/>
  <c r="T23" i="39"/>
  <c r="R23" i="39"/>
  <c r="O23" i="39"/>
  <c r="P23" i="39" s="1"/>
  <c r="M23" i="39"/>
  <c r="L23" i="39"/>
  <c r="K23" i="39"/>
  <c r="AW22" i="39"/>
  <c r="AD22" i="39"/>
  <c r="AC22" i="39"/>
  <c r="Z22" i="39"/>
  <c r="X22" i="39"/>
  <c r="V22" i="39"/>
  <c r="T22" i="39"/>
  <c r="R22" i="39"/>
  <c r="O22" i="39"/>
  <c r="P22" i="39" s="1"/>
  <c r="M22" i="39"/>
  <c r="K22" i="39"/>
  <c r="L22" i="39" s="1"/>
  <c r="AU21" i="39"/>
  <c r="AO21" i="39"/>
  <c r="AB21" i="39"/>
  <c r="V21" i="39"/>
  <c r="T21" i="39"/>
  <c r="R21" i="39"/>
  <c r="O21" i="39"/>
  <c r="P21" i="39" s="1"/>
  <c r="K21" i="39"/>
  <c r="L21" i="39" s="1"/>
  <c r="AX20" i="39"/>
  <c r="AU20" i="39"/>
  <c r="AO20" i="39"/>
  <c r="V20" i="39"/>
  <c r="T20" i="39"/>
  <c r="R20" i="39"/>
  <c r="P20" i="39"/>
  <c r="O20" i="39"/>
  <c r="L20" i="39"/>
  <c r="X20" i="39" s="1"/>
  <c r="K20" i="39"/>
  <c r="AW19" i="39"/>
  <c r="AU19" i="39"/>
  <c r="AE19" i="39"/>
  <c r="AD19" i="39"/>
  <c r="AC19" i="39"/>
  <c r="Y19" i="39"/>
  <c r="V19" i="39"/>
  <c r="T19" i="39"/>
  <c r="R19" i="39"/>
  <c r="P19" i="39"/>
  <c r="O19" i="39"/>
  <c r="L19" i="39"/>
  <c r="K19" i="39"/>
  <c r="V18" i="39"/>
  <c r="T18" i="39"/>
  <c r="R18" i="39"/>
  <c r="O18" i="39"/>
  <c r="P18" i="39" s="1"/>
  <c r="K18" i="39"/>
  <c r="L18" i="39" s="1"/>
  <c r="AE18" i="39" s="1"/>
  <c r="AS17" i="39"/>
  <c r="AR17" i="39"/>
  <c r="AP17" i="39"/>
  <c r="AE17" i="39"/>
  <c r="Z17" i="39"/>
  <c r="V17" i="39"/>
  <c r="T17" i="39"/>
  <c r="R17" i="39"/>
  <c r="O17" i="39"/>
  <c r="P17" i="39" s="1"/>
  <c r="K17" i="39"/>
  <c r="L17" i="39" s="1"/>
  <c r="X17" i="39" s="1"/>
  <c r="AE16" i="39"/>
  <c r="AD16" i="39"/>
  <c r="Y16" i="39"/>
  <c r="V16" i="39"/>
  <c r="T16" i="39"/>
  <c r="R16" i="39"/>
  <c r="P16" i="39"/>
  <c r="O16" i="39"/>
  <c r="L16" i="39"/>
  <c r="K16" i="39"/>
  <c r="AX15" i="39"/>
  <c r="V15" i="39"/>
  <c r="T15" i="39"/>
  <c r="R15" i="39"/>
  <c r="I15" i="39"/>
  <c r="F15" i="39"/>
  <c r="O15" i="39" s="1"/>
  <c r="AC14" i="39"/>
  <c r="V14" i="39"/>
  <c r="T14" i="39"/>
  <c r="R14" i="39"/>
  <c r="P14" i="39"/>
  <c r="O14" i="39"/>
  <c r="L14" i="39"/>
  <c r="K14" i="39"/>
  <c r="V13" i="39"/>
  <c r="T13" i="39"/>
  <c r="R13" i="39"/>
  <c r="O13" i="39"/>
  <c r="P13" i="39" s="1"/>
  <c r="K13" i="39"/>
  <c r="L13" i="39" s="1"/>
  <c r="V12" i="39"/>
  <c r="T12" i="39"/>
  <c r="R12" i="39"/>
  <c r="P12" i="39"/>
  <c r="F12" i="39"/>
  <c r="O12" i="39" s="1"/>
  <c r="V11" i="39"/>
  <c r="T11" i="39"/>
  <c r="R11" i="39"/>
  <c r="O11" i="39"/>
  <c r="P11" i="39" s="1"/>
  <c r="K11" i="39"/>
  <c r="L11" i="39" s="1"/>
  <c r="AY10" i="39"/>
  <c r="AX10" i="39"/>
  <c r="AO10" i="39"/>
  <c r="AU10" i="39" s="1"/>
  <c r="V10" i="39"/>
  <c r="T10" i="39"/>
  <c r="R10" i="39"/>
  <c r="R8" i="39" s="1"/>
  <c r="AO11" i="39" s="1"/>
  <c r="P10" i="39"/>
  <c r="O10" i="39"/>
  <c r="K10" i="39"/>
  <c r="L10" i="39" s="1"/>
  <c r="AX9" i="39"/>
  <c r="AQ9" i="39"/>
  <c r="AT9" i="39" s="1"/>
  <c r="AP9" i="39"/>
  <c r="AT20" i="39" s="1"/>
  <c r="V9" i="39"/>
  <c r="V8" i="39" s="1"/>
  <c r="T9" i="39"/>
  <c r="T8" i="39" s="1"/>
  <c r="R9" i="39"/>
  <c r="P9" i="39"/>
  <c r="O9" i="39"/>
  <c r="I9" i="39"/>
  <c r="AJ8" i="39"/>
  <c r="AK7" i="39" s="1"/>
  <c r="AG8" i="39"/>
  <c r="AF8" i="39"/>
  <c r="U8" i="39"/>
  <c r="S8" i="39"/>
  <c r="Q8" i="39"/>
  <c r="I8" i="39"/>
  <c r="H8" i="39"/>
  <c r="H63" i="39" s="1"/>
  <c r="G8" i="39"/>
  <c r="G63" i="39" s="1"/>
  <c r="AM7" i="39"/>
  <c r="AS61" i="38" l="1"/>
  <c r="AX61" i="38"/>
  <c r="BB61" i="38" s="1"/>
  <c r="AP61" i="38"/>
  <c r="AW61" i="38"/>
  <c r="AV61" i="38"/>
  <c r="AU61" i="38"/>
  <c r="AQ61" i="38"/>
  <c r="AT61" i="38"/>
  <c r="AR61" i="38"/>
  <c r="J11" i="38"/>
  <c r="AD9" i="38"/>
  <c r="AI11" i="38"/>
  <c r="AE9" i="38"/>
  <c r="AI10" i="38"/>
  <c r="AL10" i="38" s="1"/>
  <c r="AM10" i="38" s="1"/>
  <c r="AK9" i="38"/>
  <c r="AK11" i="38" s="1"/>
  <c r="AD60" i="38"/>
  <c r="AE60" i="38"/>
  <c r="U62" i="38"/>
  <c r="AI60" i="38"/>
  <c r="AJ9" i="37"/>
  <c r="AJ11" i="37" s="1"/>
  <c r="AD11" i="37"/>
  <c r="AS63" i="37"/>
  <c r="AR63" i="37"/>
  <c r="AQ63" i="37"/>
  <c r="AP63" i="37"/>
  <c r="AT63" i="37"/>
  <c r="AX63" i="37" s="1"/>
  <c r="BB63" i="37" s="1"/>
  <c r="AW63" i="37"/>
  <c r="AV63" i="37"/>
  <c r="AU63" i="37"/>
  <c r="AL10" i="37"/>
  <c r="AM10" i="37" s="1"/>
  <c r="AL9" i="37"/>
  <c r="AD62" i="37"/>
  <c r="AE62" i="37"/>
  <c r="AI62" i="37"/>
  <c r="AE9" i="37"/>
  <c r="AU11" i="39"/>
  <c r="AT11" i="39"/>
  <c r="V63" i="39"/>
  <c r="AO12" i="39"/>
  <c r="T63" i="39"/>
  <c r="AO14" i="39"/>
  <c r="Z27" i="39"/>
  <c r="M27" i="39"/>
  <c r="AH27" i="39" s="1"/>
  <c r="AE27" i="39"/>
  <c r="AD27" i="39"/>
  <c r="AB27" i="39"/>
  <c r="AA27" i="39"/>
  <c r="Y27" i="39"/>
  <c r="AC27" i="39"/>
  <c r="X27" i="39"/>
  <c r="L9" i="39"/>
  <c r="AC10" i="39"/>
  <c r="AA10" i="39"/>
  <c r="X10" i="39"/>
  <c r="Z10" i="39"/>
  <c r="M10" i="39"/>
  <c r="Y10" i="39"/>
  <c r="AB10" i="39"/>
  <c r="AE10" i="39"/>
  <c r="AD10" i="39"/>
  <c r="O8" i="39"/>
  <c r="P15" i="39"/>
  <c r="P8" i="39" s="1"/>
  <c r="AE11" i="39"/>
  <c r="AC11" i="39"/>
  <c r="Z11" i="39"/>
  <c r="AB11" i="39"/>
  <c r="AA11" i="39"/>
  <c r="AD11" i="39"/>
  <c r="M11" i="39"/>
  <c r="AH11" i="39" s="1"/>
  <c r="Y11" i="39"/>
  <c r="X11" i="39"/>
  <c r="AU16" i="39"/>
  <c r="AT16" i="39"/>
  <c r="AE13" i="39"/>
  <c r="AB13" i="39"/>
  <c r="Z13" i="39"/>
  <c r="X13" i="39"/>
  <c r="AD13" i="39"/>
  <c r="Y13" i="39"/>
  <c r="AC13" i="39"/>
  <c r="AA13" i="39"/>
  <c r="M13" i="39"/>
  <c r="AU9" i="39"/>
  <c r="AA14" i="39"/>
  <c r="X14" i="39"/>
  <c r="Z14" i="39"/>
  <c r="AD18" i="39"/>
  <c r="AB20" i="39"/>
  <c r="Y21" i="39"/>
  <c r="AD21" i="39"/>
  <c r="Z21" i="39"/>
  <c r="AD24" i="39"/>
  <c r="AC24" i="39"/>
  <c r="AA24" i="39"/>
  <c r="Y24" i="39"/>
  <c r="AB26" i="39"/>
  <c r="Y26" i="39"/>
  <c r="M26" i="39"/>
  <c r="X26" i="39"/>
  <c r="AD26" i="39"/>
  <c r="AA26" i="39"/>
  <c r="AE28" i="39"/>
  <c r="AB28" i="39"/>
  <c r="AA28" i="39"/>
  <c r="Y28" i="39"/>
  <c r="AC28" i="39"/>
  <c r="AE34" i="39"/>
  <c r="AC34" i="39"/>
  <c r="AB34" i="39"/>
  <c r="AA34" i="39"/>
  <c r="Z34" i="39"/>
  <c r="M34" i="39"/>
  <c r="Y34" i="39"/>
  <c r="AE50" i="39"/>
  <c r="AC50" i="39"/>
  <c r="AB50" i="39"/>
  <c r="AA50" i="39"/>
  <c r="Z50" i="39"/>
  <c r="M50" i="39"/>
  <c r="Y50" i="39"/>
  <c r="X56" i="39"/>
  <c r="AE56" i="39"/>
  <c r="AD56" i="39"/>
  <c r="AC56" i="39"/>
  <c r="AB56" i="39"/>
  <c r="AA56" i="39"/>
  <c r="Z56" i="39"/>
  <c r="M56" i="39"/>
  <c r="AH56" i="39" s="1"/>
  <c r="M14" i="39"/>
  <c r="AB14" i="39"/>
  <c r="K15" i="39"/>
  <c r="L15" i="39" s="1"/>
  <c r="AQ17" i="39"/>
  <c r="AC20" i="39"/>
  <c r="M21" i="39"/>
  <c r="AA21" i="39"/>
  <c r="AB22" i="39"/>
  <c r="Y22" i="39"/>
  <c r="AH22" i="39" s="1"/>
  <c r="AA22" i="39"/>
  <c r="X23" i="39"/>
  <c r="AC23" i="39"/>
  <c r="Z23" i="39"/>
  <c r="M24" i="39"/>
  <c r="AH24" i="39" s="1"/>
  <c r="Z24" i="39"/>
  <c r="AC26" i="39"/>
  <c r="M28" i="39"/>
  <c r="AD28" i="39"/>
  <c r="AA30" i="39"/>
  <c r="X30" i="39"/>
  <c r="AE30" i="39"/>
  <c r="AC30" i="39"/>
  <c r="Z30" i="39"/>
  <c r="X33" i="39"/>
  <c r="AD33" i="39"/>
  <c r="AC33" i="39"/>
  <c r="AB33" i="39"/>
  <c r="AA33" i="39"/>
  <c r="Z33" i="39"/>
  <c r="M33" i="39"/>
  <c r="AH33" i="39" s="1"/>
  <c r="AC36" i="39"/>
  <c r="AA36" i="39"/>
  <c r="Z36" i="39"/>
  <c r="M36" i="39"/>
  <c r="Y36" i="39"/>
  <c r="X36" i="39"/>
  <c r="AE36" i="39"/>
  <c r="AB37" i="39"/>
  <c r="Z37" i="39"/>
  <c r="M37" i="39"/>
  <c r="Y37" i="39"/>
  <c r="X37" i="39"/>
  <c r="AE37" i="39"/>
  <c r="AD37" i="39"/>
  <c r="Z47" i="39"/>
  <c r="M47" i="39"/>
  <c r="AH47" i="39" s="1"/>
  <c r="X47" i="39"/>
  <c r="AE47" i="39"/>
  <c r="AD47" i="39"/>
  <c r="AC47" i="39"/>
  <c r="AB47" i="39"/>
  <c r="AC52" i="39"/>
  <c r="AA52" i="39"/>
  <c r="Z52" i="39"/>
  <c r="M52" i="39"/>
  <c r="AH52" i="39" s="1"/>
  <c r="Y52" i="39"/>
  <c r="X52" i="39"/>
  <c r="AE52" i="39"/>
  <c r="AB53" i="39"/>
  <c r="AA53" i="39"/>
  <c r="Z53" i="39"/>
  <c r="M53" i="39"/>
  <c r="Y53" i="39"/>
  <c r="X53" i="39"/>
  <c r="AE53" i="39"/>
  <c r="AD53" i="39"/>
  <c r="Q63" i="39"/>
  <c r="AF63" i="39"/>
  <c r="I63" i="39"/>
  <c r="AB18" i="39"/>
  <c r="Y18" i="39"/>
  <c r="AA18" i="39"/>
  <c r="AE20" i="39"/>
  <c r="AH30" i="39"/>
  <c r="X48" i="39"/>
  <c r="AD48" i="39"/>
  <c r="AC48" i="39"/>
  <c r="AB48" i="39"/>
  <c r="AA48" i="39"/>
  <c r="Z48" i="39"/>
  <c r="M48" i="39"/>
  <c r="R63" i="39"/>
  <c r="Y58" i="39"/>
  <c r="F8" i="39"/>
  <c r="F63" i="39" s="1"/>
  <c r="AB17" i="39"/>
  <c r="Y17" i="39"/>
  <c r="AC21" i="39"/>
  <c r="AA45" i="39"/>
  <c r="S63" i="39"/>
  <c r="AH23" i="39"/>
  <c r="AD14" i="39"/>
  <c r="X16" i="39"/>
  <c r="AC16" i="39"/>
  <c r="AA17" i="39"/>
  <c r="AE24" i="39"/>
  <c r="K9" i="39"/>
  <c r="AT10" i="39"/>
  <c r="AT21" i="39" s="1"/>
  <c r="AE14" i="39"/>
  <c r="M16" i="39"/>
  <c r="AH16" i="39" s="1"/>
  <c r="AA16" i="39"/>
  <c r="M17" i="39"/>
  <c r="AC17" i="39"/>
  <c r="X18" i="39"/>
  <c r="AA19" i="39"/>
  <c r="X19" i="39"/>
  <c r="Z19" i="39"/>
  <c r="AE21" i="39"/>
  <c r="AE22" i="39"/>
  <c r="AD23" i="39"/>
  <c r="AD29" i="39"/>
  <c r="AA29" i="39"/>
  <c r="Z29" i="39"/>
  <c r="M29" i="39"/>
  <c r="AH29" i="39" s="1"/>
  <c r="X29" i="39"/>
  <c r="AC29" i="39"/>
  <c r="Z39" i="39"/>
  <c r="M39" i="39"/>
  <c r="X39" i="39"/>
  <c r="AE39" i="39"/>
  <c r="AD39" i="39"/>
  <c r="AC39" i="39"/>
  <c r="AB39" i="39"/>
  <c r="AE41" i="39"/>
  <c r="AB44" i="39"/>
  <c r="Z16" i="39"/>
  <c r="Y40" i="39"/>
  <c r="AH40" i="39" s="1"/>
  <c r="AE40" i="39"/>
  <c r="AD40" i="39"/>
  <c r="AC40" i="39"/>
  <c r="AB40" i="39"/>
  <c r="AA40" i="39"/>
  <c r="Z40" i="39"/>
  <c r="K12" i="39"/>
  <c r="L12" i="39" s="1"/>
  <c r="AB16" i="39"/>
  <c r="AD17" i="39"/>
  <c r="Z18" i="39"/>
  <c r="M19" i="39"/>
  <c r="AB19" i="39"/>
  <c r="AE23" i="39"/>
  <c r="AE25" i="39"/>
  <c r="AB25" i="39"/>
  <c r="AA25" i="39"/>
  <c r="Y25" i="39"/>
  <c r="AH25" i="39" s="1"/>
  <c r="AC25" i="39"/>
  <c r="Z31" i="39"/>
  <c r="M31" i="39"/>
  <c r="AH31" i="39" s="1"/>
  <c r="X31" i="39"/>
  <c r="AE31" i="39"/>
  <c r="AD31" i="39"/>
  <c r="AB31" i="39"/>
  <c r="Y32" i="39"/>
  <c r="AE32" i="39"/>
  <c r="AD32" i="39"/>
  <c r="AH32" i="39" s="1"/>
  <c r="AC32" i="39"/>
  <c r="AA32" i="39"/>
  <c r="Z32" i="39"/>
  <c r="X34" i="39"/>
  <c r="AE42" i="39"/>
  <c r="AC42" i="39"/>
  <c r="AB42" i="39"/>
  <c r="AA42" i="39"/>
  <c r="Z42" i="39"/>
  <c r="M42" i="39"/>
  <c r="Y42" i="39"/>
  <c r="X50" i="39"/>
  <c r="Y56" i="39"/>
  <c r="U63" i="39"/>
  <c r="AA60" i="39"/>
  <c r="AA58" i="39" s="1"/>
  <c r="Z60" i="39"/>
  <c r="Y60" i="39"/>
  <c r="X60" i="39"/>
  <c r="AE60" i="39"/>
  <c r="AE58" i="39" s="1"/>
  <c r="AD60" i="39"/>
  <c r="L58" i="39"/>
  <c r="AC60" i="39"/>
  <c r="M60" i="39"/>
  <c r="AH60" i="39" s="1"/>
  <c r="AD20" i="39"/>
  <c r="AA20" i="39"/>
  <c r="AC44" i="39"/>
  <c r="AA44" i="39"/>
  <c r="Z44" i="39"/>
  <c r="M44" i="39"/>
  <c r="Y44" i="39"/>
  <c r="X44" i="39"/>
  <c r="AE44" i="39"/>
  <c r="AB45" i="39"/>
  <c r="Z45" i="39"/>
  <c r="M45" i="39"/>
  <c r="Y45" i="39"/>
  <c r="X45" i="39"/>
  <c r="AE45" i="39"/>
  <c r="AD45" i="39"/>
  <c r="AE57" i="39"/>
  <c r="AD57" i="39"/>
  <c r="AC57" i="39"/>
  <c r="AB57" i="39"/>
  <c r="AA57" i="39"/>
  <c r="Z57" i="39"/>
  <c r="M57" i="39"/>
  <c r="Y57" i="39"/>
  <c r="AD58" i="39"/>
  <c r="Y20" i="39"/>
  <c r="X41" i="39"/>
  <c r="AD41" i="39"/>
  <c r="AC41" i="39"/>
  <c r="AB41" i="39"/>
  <c r="AA41" i="39"/>
  <c r="Z41" i="39"/>
  <c r="M41" i="39"/>
  <c r="AH41" i="39" s="1"/>
  <c r="Y14" i="39"/>
  <c r="M18" i="39"/>
  <c r="AC18" i="39"/>
  <c r="M20" i="39"/>
  <c r="Z20" i="39"/>
  <c r="X21" i="39"/>
  <c r="X24" i="39"/>
  <c r="Z26" i="39"/>
  <c r="Z28" i="39"/>
  <c r="Y48" i="39"/>
  <c r="Y55" i="39"/>
  <c r="X55" i="39"/>
  <c r="AE55" i="39"/>
  <c r="AD55" i="39"/>
  <c r="AH55" i="39" s="1"/>
  <c r="AC55" i="39"/>
  <c r="AB55" i="39"/>
  <c r="AA55" i="39"/>
  <c r="O63" i="39"/>
  <c r="W63" i="39"/>
  <c r="X35" i="39"/>
  <c r="AC38" i="39"/>
  <c r="X43" i="39"/>
  <c r="AC46" i="39"/>
  <c r="X51" i="39"/>
  <c r="AB54" i="39"/>
  <c r="Z59" i="39"/>
  <c r="X61" i="39"/>
  <c r="Z62" i="39"/>
  <c r="Y35" i="39"/>
  <c r="Y43" i="39"/>
  <c r="Y51" i="39"/>
  <c r="AC54" i="39"/>
  <c r="M35" i="39"/>
  <c r="Z35" i="39"/>
  <c r="AE38" i="39"/>
  <c r="M43" i="39"/>
  <c r="Z43" i="39"/>
  <c r="AE46" i="39"/>
  <c r="M51" i="39"/>
  <c r="AH51" i="39" s="1"/>
  <c r="Z51" i="39"/>
  <c r="AD54" i="39"/>
  <c r="AB59" i="39"/>
  <c r="AB62" i="39"/>
  <c r="AA35" i="39"/>
  <c r="X38" i="39"/>
  <c r="AA43" i="39"/>
  <c r="X46" i="39"/>
  <c r="AA51" i="39"/>
  <c r="AE54" i="39"/>
  <c r="M59" i="39"/>
  <c r="AC59" i="39"/>
  <c r="AA61" i="39"/>
  <c r="M62" i="39"/>
  <c r="AC62" i="39"/>
  <c r="AB35" i="39"/>
  <c r="Y38" i="39"/>
  <c r="AH38" i="39" s="1"/>
  <c r="AB43" i="39"/>
  <c r="Y46" i="39"/>
  <c r="AH46" i="39" s="1"/>
  <c r="AB51" i="39"/>
  <c r="X54" i="39"/>
  <c r="Y54" i="39"/>
  <c r="M54" i="39"/>
  <c r="AH54" i="39" s="1"/>
  <c r="AD62" i="38" l="1"/>
  <c r="AJ60" i="38"/>
  <c r="AJ62" i="38" s="1"/>
  <c r="AU10" i="38"/>
  <c r="AT10" i="38"/>
  <c r="AR10" i="38"/>
  <c r="AX10" i="38" s="1"/>
  <c r="AZ10" i="38" s="1"/>
  <c r="AV10" i="38"/>
  <c r="AS10" i="38"/>
  <c r="AQ10" i="38"/>
  <c r="AP10" i="38"/>
  <c r="AW10" i="38"/>
  <c r="AE62" i="38"/>
  <c r="AN60" i="38"/>
  <c r="AO60" i="38" s="1"/>
  <c r="AO62" i="38" s="1"/>
  <c r="AI62" i="38"/>
  <c r="AN9" i="38"/>
  <c r="AE11" i="38"/>
  <c r="AJ9" i="38"/>
  <c r="AD11" i="38"/>
  <c r="AI64" i="37"/>
  <c r="AE64" i="37"/>
  <c r="AN62" i="37"/>
  <c r="AO62" i="37" s="1"/>
  <c r="AO64" i="37" s="1"/>
  <c r="AJ62" i="37"/>
  <c r="AJ64" i="37" s="1"/>
  <c r="AD64" i="37"/>
  <c r="AQ10" i="37"/>
  <c r="AX10" i="37"/>
  <c r="AP10" i="37"/>
  <c r="AW10" i="37"/>
  <c r="AR10" i="37"/>
  <c r="AV10" i="37"/>
  <c r="AU10" i="37"/>
  <c r="AT10" i="37"/>
  <c r="AS10" i="37"/>
  <c r="AL11" i="37"/>
  <c r="AM9" i="37"/>
  <c r="AE11" i="37"/>
  <c r="AN9" i="37"/>
  <c r="AO13" i="39"/>
  <c r="P63" i="39"/>
  <c r="AH21" i="39"/>
  <c r="AL21" i="39" s="1"/>
  <c r="AH62" i="39"/>
  <c r="AH57" i="39"/>
  <c r="Y63" i="39"/>
  <c r="AH50" i="39"/>
  <c r="AH10" i="39"/>
  <c r="AU14" i="39"/>
  <c r="AT14" i="39"/>
  <c r="AH43" i="39"/>
  <c r="AH44" i="39"/>
  <c r="L63" i="39"/>
  <c r="K8" i="39"/>
  <c r="AO8" i="39"/>
  <c r="AX8" i="39"/>
  <c r="AO19" i="39"/>
  <c r="AH20" i="39"/>
  <c r="AC58" i="39"/>
  <c r="AH48" i="39"/>
  <c r="AC15" i="39"/>
  <c r="Z15" i="39"/>
  <c r="M15" i="39"/>
  <c r="AH15" i="39" s="1"/>
  <c r="AE15" i="39"/>
  <c r="AB15" i="39"/>
  <c r="AA15" i="39"/>
  <c r="AD15" i="39"/>
  <c r="Y15" i="39"/>
  <c r="X15" i="39"/>
  <c r="AB58" i="39"/>
  <c r="AB63" i="39" s="1"/>
  <c r="Z58" i="39"/>
  <c r="AH45" i="39"/>
  <c r="AA12" i="39"/>
  <c r="AB12" i="39"/>
  <c r="M12" i="39"/>
  <c r="AH12" i="39" s="1"/>
  <c r="Y12" i="39"/>
  <c r="X12" i="39"/>
  <c r="AE12" i="39"/>
  <c r="Z12" i="39"/>
  <c r="AD12" i="39"/>
  <c r="AC12" i="39"/>
  <c r="AH35" i="39"/>
  <c r="AH18" i="39"/>
  <c r="X58" i="39"/>
  <c r="AH39" i="39"/>
  <c r="AH17" i="39"/>
  <c r="AH28" i="39"/>
  <c r="AH14" i="39"/>
  <c r="AH19" i="39"/>
  <c r="AH53" i="39"/>
  <c r="AH59" i="39"/>
  <c r="AH58" i="39" s="1"/>
  <c r="M58" i="39"/>
  <c r="AH36" i="39"/>
  <c r="AH42" i="39"/>
  <c r="AH37" i="39"/>
  <c r="AH26" i="39"/>
  <c r="AH13" i="39"/>
  <c r="AU12" i="39"/>
  <c r="AT12" i="39"/>
  <c r="AA9" i="39"/>
  <c r="Y9" i="39"/>
  <c r="Y8" i="39" s="1"/>
  <c r="AE9" i="39"/>
  <c r="AE8" i="39" s="1"/>
  <c r="AE63" i="39" s="1"/>
  <c r="AO29" i="39" s="1"/>
  <c r="X9" i="39"/>
  <c r="X8" i="39" s="1"/>
  <c r="AD9" i="39"/>
  <c r="L8" i="39"/>
  <c r="M9" i="39"/>
  <c r="Z9" i="39"/>
  <c r="AC9" i="39"/>
  <c r="AB9" i="39"/>
  <c r="AB8" i="39" s="1"/>
  <c r="AH34" i="39"/>
  <c r="AO9" i="38" l="1"/>
  <c r="AO11" i="38" s="1"/>
  <c r="AN11" i="38"/>
  <c r="AJ11" i="38"/>
  <c r="AL9" i="38"/>
  <c r="AL60" i="38"/>
  <c r="BD10" i="37"/>
  <c r="BB10" i="37"/>
  <c r="AN11" i="37"/>
  <c r="AO9" i="37"/>
  <c r="AO11" i="37" s="1"/>
  <c r="AR9" i="37"/>
  <c r="AR11" i="37" s="1"/>
  <c r="AQ9" i="37"/>
  <c r="AQ11" i="37" s="1"/>
  <c r="AS9" i="37"/>
  <c r="AS11" i="37" s="1"/>
  <c r="AX9" i="37"/>
  <c r="AP9" i="37"/>
  <c r="AP11" i="37" s="1"/>
  <c r="AW9" i="37"/>
  <c r="AW11" i="37" s="1"/>
  <c r="AM11" i="37"/>
  <c r="AV9" i="37"/>
  <c r="AV11" i="37" s="1"/>
  <c r="AU9" i="37"/>
  <c r="AU11" i="37" s="1"/>
  <c r="AT9" i="37"/>
  <c r="AT11" i="37" s="1"/>
  <c r="AL62" i="37"/>
  <c r="AC8" i="39"/>
  <c r="AC63" i="39" s="1"/>
  <c r="AA8" i="39"/>
  <c r="AA63" i="39" s="1"/>
  <c r="AO24" i="39" s="1"/>
  <c r="X63" i="39"/>
  <c r="AO23" i="39" s="1"/>
  <c r="K63" i="39"/>
  <c r="AO15" i="39"/>
  <c r="AO22" i="39"/>
  <c r="AX11" i="39"/>
  <c r="AH63" i="39"/>
  <c r="AH9" i="39"/>
  <c r="AH8" i="39" s="1"/>
  <c r="M8" i="39"/>
  <c r="M63" i="39" s="1"/>
  <c r="AO17" i="39"/>
  <c r="AQ6" i="39" s="1"/>
  <c r="AT8" i="39"/>
  <c r="AU8" i="39"/>
  <c r="Z8" i="39"/>
  <c r="Z63" i="39" s="1"/>
  <c r="AO26" i="39" s="1"/>
  <c r="AD8" i="39"/>
  <c r="AD63" i="39" s="1"/>
  <c r="AO25" i="39" s="1"/>
  <c r="AU13" i="39"/>
  <c r="AT13" i="39"/>
  <c r="AM60" i="38" l="1"/>
  <c r="AL62" i="38"/>
  <c r="AM9" i="38"/>
  <c r="AL11" i="38"/>
  <c r="BB9" i="37"/>
  <c r="AX11" i="37"/>
  <c r="BC11" i="37" s="1"/>
  <c r="AZ9" i="37"/>
  <c r="AZ11" i="37" s="1"/>
  <c r="AL64" i="37"/>
  <c r="AM62" i="37"/>
  <c r="AO27" i="39"/>
  <c r="AT15" i="39"/>
  <c r="AT22" i="39" s="1"/>
  <c r="AU15" i="39"/>
  <c r="AU17" i="39" s="1"/>
  <c r="AT19" i="39"/>
  <c r="AT60" i="38" l="1"/>
  <c r="AT62" i="38" s="1"/>
  <c r="AQ60" i="38"/>
  <c r="AQ62" i="38" s="1"/>
  <c r="AP60" i="38"/>
  <c r="AP62" i="38" s="1"/>
  <c r="AV60" i="38"/>
  <c r="AV62" i="38" s="1"/>
  <c r="AR60" i="38"/>
  <c r="AR62" i="38" s="1"/>
  <c r="AX60" i="38"/>
  <c r="AW60" i="38"/>
  <c r="AW62" i="38" s="1"/>
  <c r="AM62" i="38"/>
  <c r="AU60" i="38"/>
  <c r="AU62" i="38" s="1"/>
  <c r="AS60" i="38"/>
  <c r="AS62" i="38" s="1"/>
  <c r="AV9" i="38"/>
  <c r="AV11" i="38" s="1"/>
  <c r="AM11" i="38"/>
  <c r="AU9" i="38"/>
  <c r="AU11" i="38" s="1"/>
  <c r="AT9" i="38"/>
  <c r="AT11" i="38" s="1"/>
  <c r="AR9" i="38"/>
  <c r="AR11" i="38" s="1"/>
  <c r="AS9" i="38"/>
  <c r="AS11" i="38" s="1"/>
  <c r="AQ9" i="38"/>
  <c r="AQ11" i="38" s="1"/>
  <c r="AP9" i="38"/>
  <c r="AP11" i="38" s="1"/>
  <c r="AW9" i="38"/>
  <c r="AW11" i="38" s="1"/>
  <c r="AT62" i="37"/>
  <c r="AT64" i="37" s="1"/>
  <c r="AS62" i="37"/>
  <c r="AS64" i="37" s="1"/>
  <c r="AR62" i="37"/>
  <c r="AR64" i="37" s="1"/>
  <c r="AM64" i="37"/>
  <c r="AQ62" i="37"/>
  <c r="AQ64" i="37" s="1"/>
  <c r="AP62" i="37"/>
  <c r="AP64" i="37" s="1"/>
  <c r="AU62" i="37"/>
  <c r="AU64" i="37" s="1"/>
  <c r="AW62" i="37"/>
  <c r="AW64" i="37" s="1"/>
  <c r="AV62" i="37"/>
  <c r="AV64" i="37" s="1"/>
  <c r="AT17" i="39"/>
  <c r="AT5" i="39" s="1"/>
  <c r="AX9" i="38" l="1"/>
  <c r="AZ60" i="38"/>
  <c r="AZ62" i="38" s="1"/>
  <c r="BB60" i="38"/>
  <c r="BB62" i="38" s="1"/>
  <c r="AX62" i="38"/>
  <c r="BC62" i="38" s="1"/>
  <c r="AX62" i="37"/>
  <c r="AX11" i="38" l="1"/>
  <c r="BC11" i="38" s="1"/>
  <c r="AZ9" i="38"/>
  <c r="AZ11" i="38" s="1"/>
  <c r="BB62" i="37"/>
  <c r="BB64" i="37" s="1"/>
  <c r="AZ62" i="37"/>
  <c r="AZ64" i="37" s="1"/>
  <c r="AX64" i="37"/>
  <c r="BC64" i="37" s="1"/>
  <c r="AP27" i="27" l="1"/>
  <c r="AQ27" i="27"/>
  <c r="AR27" i="27"/>
  <c r="AS27" i="27"/>
  <c r="AT27" i="27"/>
  <c r="AO27" i="27"/>
  <c r="AO29" i="27"/>
  <c r="BC20" i="27"/>
  <c r="BC21" i="27"/>
  <c r="BC22" i="27"/>
  <c r="BC19" i="27"/>
  <c r="AT20" i="27"/>
  <c r="AT21" i="27"/>
  <c r="AT22" i="27"/>
  <c r="AT23" i="27"/>
  <c r="AT24" i="27"/>
  <c r="AT25" i="27"/>
  <c r="AT26" i="27"/>
  <c r="AT19" i="27"/>
  <c r="BB22" i="27"/>
  <c r="BB26" i="27" s="1"/>
  <c r="BA22" i="27"/>
  <c r="BB19" i="27"/>
  <c r="BA19" i="27"/>
  <c r="AR19" i="27"/>
  <c r="AR20" i="27"/>
  <c r="AZ22" i="27"/>
  <c r="AZ19" i="27"/>
  <c r="AY22" i="27"/>
  <c r="AY19" i="27"/>
  <c r="AQ19" i="27"/>
  <c r="AQ22" i="27"/>
  <c r="AQ20" i="27"/>
  <c r="AP22" i="27"/>
  <c r="AX22" i="27" s="1"/>
  <c r="AW22" i="27"/>
  <c r="AX19" i="27"/>
  <c r="AP19" i="27"/>
  <c r="AP21" i="27"/>
  <c r="AP20" i="27"/>
  <c r="AW19" i="27"/>
  <c r="AO21" i="27"/>
  <c r="AV21" i="27" s="1"/>
  <c r="AV22" i="27"/>
  <c r="AV20" i="27"/>
  <c r="AV19" i="27"/>
  <c r="AU22" i="27"/>
  <c r="AU21" i="27"/>
  <c r="AU20" i="27"/>
  <c r="AU19" i="27"/>
  <c r="AO19" i="27"/>
  <c r="AU9" i="27" l="1"/>
  <c r="AU10" i="27"/>
  <c r="AU11" i="27"/>
  <c r="AU12" i="27"/>
  <c r="AU13" i="27"/>
  <c r="AU14" i="27"/>
  <c r="AU15" i="27"/>
  <c r="AU16" i="27"/>
  <c r="AU8" i="27"/>
  <c r="AS17" i="27"/>
  <c r="AS15" i="27"/>
  <c r="AS8" i="27"/>
  <c r="AT8" i="27"/>
  <c r="AR15" i="27"/>
  <c r="AR17" i="27" s="1"/>
  <c r="AR8" i="27"/>
  <c r="AR10" i="27"/>
  <c r="AO8" i="27"/>
  <c r="AY9" i="27"/>
  <c r="AY8" i="27"/>
  <c r="AH8" i="27"/>
  <c r="AH64" i="27" s="1"/>
  <c r="S8" i="27"/>
  <c r="AF114" i="27" l="1"/>
  <c r="AG114" i="27"/>
  <c r="W114" i="27"/>
  <c r="U114" i="27"/>
  <c r="S114" i="27"/>
  <c r="Q114" i="27"/>
  <c r="K114" i="27"/>
  <c r="G114" i="27"/>
  <c r="H114" i="27"/>
  <c r="I114" i="27"/>
  <c r="F114" i="27"/>
  <c r="AM120" i="27"/>
  <c r="AM114" i="27"/>
  <c r="V113" i="27"/>
  <c r="T113" i="27"/>
  <c r="R113" i="27"/>
  <c r="O113" i="27"/>
  <c r="P113" i="27" s="1"/>
  <c r="K113" i="27"/>
  <c r="L113" i="27" s="1"/>
  <c r="I112" i="27"/>
  <c r="AJ112" i="27"/>
  <c r="AK111" i="27" s="1"/>
  <c r="AG112" i="27"/>
  <c r="AF112" i="27"/>
  <c r="W112" i="27"/>
  <c r="U112" i="27"/>
  <c r="Q112" i="27"/>
  <c r="G112" i="27"/>
  <c r="F112" i="27"/>
  <c r="AM111" i="27"/>
  <c r="H64" i="27"/>
  <c r="AE113" i="27" l="1"/>
  <c r="AD113" i="27"/>
  <c r="M113" i="27"/>
  <c r="AB113" i="27"/>
  <c r="Z113" i="27"/>
  <c r="R112" i="27"/>
  <c r="R114" i="27" s="1"/>
  <c r="T112" i="27"/>
  <c r="T114" i="27" s="1"/>
  <c r="V112" i="27"/>
  <c r="V114" i="27" s="1"/>
  <c r="K112" i="27"/>
  <c r="P112" i="27"/>
  <c r="P114" i="27" s="1"/>
  <c r="AY112" i="27"/>
  <c r="AO112" i="27"/>
  <c r="X113" i="27"/>
  <c r="Y113" i="27"/>
  <c r="AH113" i="27" s="1"/>
  <c r="AA113" i="27"/>
  <c r="AC113" i="27"/>
  <c r="L112" i="27" l="1"/>
  <c r="L114" i="27" s="1"/>
  <c r="AV112" i="27"/>
  <c r="AU112" i="27"/>
  <c r="AD112" i="27"/>
  <c r="AD114" i="27" s="1"/>
  <c r="X112" i="27"/>
  <c r="X114" i="27" s="1"/>
  <c r="AA112" i="27"/>
  <c r="AA114" i="27" s="1"/>
  <c r="Z112" i="27"/>
  <c r="Z114" i="27" s="1"/>
  <c r="Y112" i="27"/>
  <c r="Y114" i="27" s="1"/>
  <c r="AB112" i="27"/>
  <c r="AB114" i="27" s="1"/>
  <c r="O112" i="27"/>
  <c r="O114" i="27" s="1"/>
  <c r="M112" i="27"/>
  <c r="M114" i="27" s="1"/>
  <c r="AC112" i="27" l="1"/>
  <c r="AC114" i="27" s="1"/>
  <c r="AE112" i="27"/>
  <c r="AE114" i="27" s="1"/>
  <c r="AU109" i="27"/>
  <c r="AJ110" i="27"/>
  <c r="AH112" i="27"/>
  <c r="AH114" i="27" s="1"/>
  <c r="AQ110" i="27" l="1"/>
  <c r="AF8" i="27" l="1"/>
  <c r="AG8" i="27"/>
  <c r="U8" i="27"/>
  <c r="Q8" i="27"/>
  <c r="G8" i="27"/>
  <c r="K58" i="27"/>
  <c r="L58" i="27" s="1"/>
  <c r="M58" i="27" s="1"/>
  <c r="O58" i="27"/>
  <c r="P58" i="27" s="1"/>
  <c r="R58" i="27"/>
  <c r="T58" i="27"/>
  <c r="V58" i="27"/>
  <c r="V57" i="27"/>
  <c r="T57" i="27"/>
  <c r="R57" i="27"/>
  <c r="O57" i="27"/>
  <c r="P57" i="27" s="1"/>
  <c r="K57" i="27"/>
  <c r="L57" i="27" s="1"/>
  <c r="G64" i="27" l="1"/>
  <c r="AY10" i="27"/>
  <c r="AO10" i="27"/>
  <c r="AD58" i="27"/>
  <c r="AB58" i="27"/>
  <c r="AC58" i="27"/>
  <c r="AA58" i="27"/>
  <c r="Z58" i="27"/>
  <c r="Y58" i="27"/>
  <c r="X58" i="27"/>
  <c r="AE58" i="27"/>
  <c r="AD57" i="27"/>
  <c r="AC57" i="27"/>
  <c r="AB57" i="27"/>
  <c r="X57" i="27"/>
  <c r="AE57" i="27"/>
  <c r="AA57" i="27"/>
  <c r="Z57" i="27"/>
  <c r="M57" i="27"/>
  <c r="Y57" i="27"/>
  <c r="AH58" i="27" l="1"/>
  <c r="AH57" i="27"/>
  <c r="T37" i="31"/>
  <c r="O24" i="27" l="1"/>
  <c r="O31" i="27"/>
  <c r="O32" i="27"/>
  <c r="AU29" i="27" l="1"/>
  <c r="T59" i="27" l="1"/>
  <c r="U59" i="27"/>
  <c r="V59" i="27"/>
  <c r="W59" i="27"/>
  <c r="AF59" i="27"/>
  <c r="AG59" i="27"/>
  <c r="N59" i="27"/>
  <c r="O59" i="27"/>
  <c r="Q59" i="27"/>
  <c r="S59" i="27"/>
  <c r="AI59" i="27"/>
  <c r="AJ59" i="27"/>
  <c r="AK7" i="27" s="1"/>
  <c r="P15" i="31"/>
  <c r="R60" i="27" l="1"/>
  <c r="R61" i="27"/>
  <c r="R62" i="27"/>
  <c r="R63" i="27"/>
  <c r="P60" i="27"/>
  <c r="P61" i="27"/>
  <c r="P62" i="27"/>
  <c r="P63" i="27"/>
  <c r="X49" i="27"/>
  <c r="Y49" i="27"/>
  <c r="Z49" i="27"/>
  <c r="AA49" i="27"/>
  <c r="AB49" i="27"/>
  <c r="AC49" i="27"/>
  <c r="AD49" i="27"/>
  <c r="AE49" i="27"/>
  <c r="W26" i="27"/>
  <c r="W8" i="27" s="1"/>
  <c r="V10" i="27"/>
  <c r="V11" i="27"/>
  <c r="V12" i="27"/>
  <c r="V13" i="27"/>
  <c r="V14" i="27"/>
  <c r="V15" i="27"/>
  <c r="V16" i="27"/>
  <c r="V17" i="27"/>
  <c r="V18" i="27"/>
  <c r="V19" i="27"/>
  <c r="V20" i="27"/>
  <c r="V21" i="27"/>
  <c r="V22" i="27"/>
  <c r="V23" i="27"/>
  <c r="V24" i="27"/>
  <c r="V25" i="27"/>
  <c r="V26" i="27"/>
  <c r="V27" i="27"/>
  <c r="V28" i="27"/>
  <c r="V29" i="27"/>
  <c r="V30" i="27"/>
  <c r="V31" i="27"/>
  <c r="V32" i="27"/>
  <c r="V33" i="27"/>
  <c r="V34" i="27"/>
  <c r="V35" i="27"/>
  <c r="V36" i="27"/>
  <c r="V37" i="27"/>
  <c r="V38" i="27"/>
  <c r="V39" i="27"/>
  <c r="V40" i="27"/>
  <c r="V41" i="27"/>
  <c r="V42" i="27"/>
  <c r="V43" i="27"/>
  <c r="V44" i="27"/>
  <c r="V45" i="27"/>
  <c r="V46" i="27"/>
  <c r="V47" i="27"/>
  <c r="V48" i="27"/>
  <c r="V49" i="27"/>
  <c r="V50" i="27"/>
  <c r="V51" i="27"/>
  <c r="V52" i="27"/>
  <c r="V53" i="27"/>
  <c r="V54" i="27"/>
  <c r="V55" i="27"/>
  <c r="V56" i="27"/>
  <c r="V9" i="27"/>
  <c r="T10" i="27"/>
  <c r="T11" i="27"/>
  <c r="T12" i="27"/>
  <c r="T13" i="27"/>
  <c r="T14" i="27"/>
  <c r="T15" i="27"/>
  <c r="T16" i="27"/>
  <c r="T17" i="27"/>
  <c r="T18" i="27"/>
  <c r="T19" i="27"/>
  <c r="T20" i="27"/>
  <c r="T21" i="27"/>
  <c r="T22" i="27"/>
  <c r="T23" i="27"/>
  <c r="T24" i="27"/>
  <c r="T25" i="27"/>
  <c r="T26" i="27"/>
  <c r="T27" i="27"/>
  <c r="T28" i="27"/>
  <c r="T29" i="27"/>
  <c r="T30" i="27"/>
  <c r="T31" i="27"/>
  <c r="T32" i="27"/>
  <c r="T33" i="27"/>
  <c r="T34" i="27"/>
  <c r="T35" i="27"/>
  <c r="T36" i="27"/>
  <c r="T37" i="27"/>
  <c r="T38" i="27"/>
  <c r="T39" i="27"/>
  <c r="T40" i="27"/>
  <c r="T41" i="27"/>
  <c r="T42" i="27"/>
  <c r="T43" i="27"/>
  <c r="T44" i="27"/>
  <c r="T45" i="27"/>
  <c r="T46" i="27"/>
  <c r="T47" i="27"/>
  <c r="T48" i="27"/>
  <c r="T49" i="27"/>
  <c r="T50" i="27"/>
  <c r="T51" i="27"/>
  <c r="T52" i="27"/>
  <c r="T53" i="27"/>
  <c r="T54" i="27"/>
  <c r="T55" i="27"/>
  <c r="T56" i="27"/>
  <c r="T9" i="27"/>
  <c r="R10" i="27"/>
  <c r="R11" i="27"/>
  <c r="R12" i="27"/>
  <c r="R13" i="27"/>
  <c r="R14" i="27"/>
  <c r="R15" i="27"/>
  <c r="R16" i="27"/>
  <c r="R17" i="27"/>
  <c r="R18" i="27"/>
  <c r="R19" i="27"/>
  <c r="R20" i="27"/>
  <c r="R21" i="27"/>
  <c r="R22" i="27"/>
  <c r="R23" i="27"/>
  <c r="R24" i="27"/>
  <c r="R25" i="27"/>
  <c r="R26" i="27"/>
  <c r="R27" i="27"/>
  <c r="R28" i="27"/>
  <c r="R29" i="27"/>
  <c r="R30" i="27"/>
  <c r="R31" i="27"/>
  <c r="R32" i="27"/>
  <c r="R33" i="27"/>
  <c r="R34" i="27"/>
  <c r="R35" i="27"/>
  <c r="R36" i="27"/>
  <c r="R37" i="27"/>
  <c r="R38" i="27"/>
  <c r="R39" i="27"/>
  <c r="R40" i="27"/>
  <c r="R41" i="27"/>
  <c r="R42" i="27"/>
  <c r="R43" i="27"/>
  <c r="R44" i="27"/>
  <c r="R45" i="27"/>
  <c r="R46" i="27"/>
  <c r="R47" i="27"/>
  <c r="R48" i="27"/>
  <c r="R50" i="27"/>
  <c r="R51" i="27"/>
  <c r="R52" i="27"/>
  <c r="R53" i="27"/>
  <c r="R54" i="27"/>
  <c r="R55" i="27"/>
  <c r="R56" i="27"/>
  <c r="R9" i="27"/>
  <c r="P24" i="27"/>
  <c r="P31" i="27"/>
  <c r="P32" i="27"/>
  <c r="M49" i="27"/>
  <c r="R8" i="27" l="1"/>
  <c r="T8" i="27"/>
  <c r="V8" i="27"/>
  <c r="P59" i="27"/>
  <c r="R59" i="27"/>
  <c r="G48" i="31"/>
  <c r="G49" i="31"/>
  <c r="G50" i="31"/>
  <c r="G51" i="31"/>
  <c r="G52" i="31"/>
  <c r="G53" i="31"/>
  <c r="G54" i="31"/>
  <c r="G55" i="31"/>
  <c r="G56" i="31"/>
  <c r="O49" i="27"/>
  <c r="P49" i="27" s="1"/>
  <c r="AH49" i="27" s="1"/>
  <c r="O9" i="27" l="1"/>
  <c r="P9" i="27" s="1"/>
  <c r="K9" i="27"/>
  <c r="L9" i="27" s="1"/>
  <c r="X9" i="27" l="1"/>
  <c r="Z9" i="27"/>
  <c r="Y9" i="27"/>
  <c r="M9" i="27"/>
  <c r="AA9" i="27"/>
  <c r="AC9" i="27"/>
  <c r="AE9" i="27"/>
  <c r="AD9" i="27"/>
  <c r="AB9" i="27"/>
  <c r="AT17" i="27"/>
  <c r="AM70" i="27" l="1"/>
  <c r="O25" i="27" l="1"/>
  <c r="P25" i="27" s="1"/>
  <c r="K24" i="27"/>
  <c r="L24" i="27" s="1"/>
  <c r="AB24" i="27" l="1"/>
  <c r="AC24" i="27"/>
  <c r="AD24" i="27"/>
  <c r="AE24" i="27"/>
  <c r="X24" i="27"/>
  <c r="Y24" i="27"/>
  <c r="Z24" i="27"/>
  <c r="M24" i="27"/>
  <c r="AA24" i="27"/>
  <c r="AH24" i="27" l="1"/>
  <c r="O52" i="27"/>
  <c r="P52" i="27" s="1"/>
  <c r="K52" i="27"/>
  <c r="L52" i="27" s="1"/>
  <c r="AB52" i="27" l="1"/>
  <c r="AD52" i="27"/>
  <c r="Y52" i="27"/>
  <c r="M52" i="27"/>
  <c r="AH52" i="27" s="1"/>
  <c r="Z52" i="27"/>
  <c r="AA52" i="27"/>
  <c r="X52" i="27"/>
  <c r="AC52" i="27"/>
  <c r="AE52" i="27"/>
  <c r="AY63" i="27"/>
  <c r="AX53" i="27"/>
  <c r="AX62" i="27" s="1"/>
  <c r="AX49" i="27"/>
  <c r="AX48" i="27"/>
  <c r="AX47" i="27"/>
  <c r="AY15" i="27"/>
  <c r="AZ10" i="27"/>
  <c r="O35" i="27" l="1"/>
  <c r="P35" i="27" s="1"/>
  <c r="O36" i="27"/>
  <c r="P36" i="27" s="1"/>
  <c r="K35" i="27"/>
  <c r="L35" i="27" s="1"/>
  <c r="K36" i="27"/>
  <c r="L36" i="27" s="1"/>
  <c r="AB36" i="27" l="1"/>
  <c r="AD36" i="27"/>
  <c r="AE36" i="27"/>
  <c r="Y36" i="27"/>
  <c r="M36" i="27"/>
  <c r="AH36" i="27" s="1"/>
  <c r="AA36" i="27"/>
  <c r="Z36" i="27"/>
  <c r="X36" i="27"/>
  <c r="AC36" i="27"/>
  <c r="AB35" i="27"/>
  <c r="AD35" i="27"/>
  <c r="AE35" i="27"/>
  <c r="Y35" i="27"/>
  <c r="M35" i="27"/>
  <c r="AH35" i="27" s="1"/>
  <c r="AA35" i="27"/>
  <c r="Z35" i="27"/>
  <c r="X35" i="27"/>
  <c r="AC35" i="27"/>
  <c r="L61" i="27"/>
  <c r="L62" i="27"/>
  <c r="L63" i="27"/>
  <c r="L60" i="27"/>
  <c r="X60" i="27" l="1"/>
  <c r="M60" i="27"/>
  <c r="Y60" i="27"/>
  <c r="Z60" i="27"/>
  <c r="AA60" i="27"/>
  <c r="AB60" i="27"/>
  <c r="AC60" i="27"/>
  <c r="AC59" i="27" s="1"/>
  <c r="AE60" i="27"/>
  <c r="AD60" i="27"/>
  <c r="X62" i="27"/>
  <c r="Y62" i="27"/>
  <c r="Z62" i="27"/>
  <c r="M62" i="27"/>
  <c r="AA62" i="27"/>
  <c r="AB62" i="27"/>
  <c r="AE62" i="27"/>
  <c r="AC62" i="27"/>
  <c r="AD62" i="27"/>
  <c r="X61" i="27"/>
  <c r="Y61" i="27"/>
  <c r="M61" i="27"/>
  <c r="Z61" i="27"/>
  <c r="AA61" i="27"/>
  <c r="AB61" i="27"/>
  <c r="AC61" i="27"/>
  <c r="AD61" i="27"/>
  <c r="AE61" i="27"/>
  <c r="X63" i="27"/>
  <c r="Y63" i="27"/>
  <c r="Z63" i="27"/>
  <c r="AE63" i="27"/>
  <c r="AA63" i="27"/>
  <c r="M63" i="27"/>
  <c r="AB63" i="27"/>
  <c r="AC63" i="27"/>
  <c r="AD63" i="27"/>
  <c r="L59" i="27"/>
  <c r="AE59" i="27" l="1"/>
  <c r="AB59" i="27"/>
  <c r="AA59" i="27"/>
  <c r="Z59" i="27"/>
  <c r="Y59" i="27"/>
  <c r="M59" i="27"/>
  <c r="AD59" i="27"/>
  <c r="X59" i="27"/>
  <c r="AH60" i="27"/>
  <c r="AH61" i="27"/>
  <c r="AH62" i="27"/>
  <c r="AH63" i="27"/>
  <c r="AH59" i="27" l="1"/>
  <c r="F66" i="31"/>
  <c r="G66" i="31"/>
  <c r="AI64" i="27" l="1"/>
  <c r="AQ9" i="27" l="1"/>
  <c r="F59" i="27"/>
  <c r="AO20" i="27" l="1"/>
  <c r="AP9" i="27"/>
  <c r="AP17" i="27"/>
  <c r="AQ17" i="27"/>
  <c r="O17" i="27" l="1"/>
  <c r="P17" i="27" s="1"/>
  <c r="O18" i="27"/>
  <c r="P18" i="27" s="1"/>
  <c r="N64" i="27" l="1"/>
  <c r="E64" i="31" l="1"/>
  <c r="E57" i="32" s="1"/>
  <c r="O50" i="27"/>
  <c r="P50" i="27" s="1"/>
  <c r="H66" i="31" l="1"/>
  <c r="H14" i="31" s="1"/>
  <c r="E70" i="31"/>
  <c r="E67" i="31"/>
  <c r="E68" i="31"/>
  <c r="E69" i="31"/>
  <c r="L15" i="31"/>
  <c r="M15" i="31"/>
  <c r="E66" i="31" l="1"/>
  <c r="M14" i="31"/>
  <c r="L14" i="31"/>
  <c r="AF64" i="27" l="1"/>
  <c r="AG64" i="27"/>
  <c r="S64" i="27"/>
  <c r="O54" i="27"/>
  <c r="P54" i="27" s="1"/>
  <c r="O55" i="27"/>
  <c r="P55" i="27" s="1"/>
  <c r="O56" i="27"/>
  <c r="P56" i="27" s="1"/>
  <c r="O43" i="27"/>
  <c r="P43" i="27" s="1"/>
  <c r="O44" i="27"/>
  <c r="P44" i="27" s="1"/>
  <c r="O45" i="27"/>
  <c r="P45" i="27" s="1"/>
  <c r="O46" i="27"/>
  <c r="P46" i="27" s="1"/>
  <c r="O48" i="27"/>
  <c r="P48" i="27" s="1"/>
  <c r="O40" i="27"/>
  <c r="P40" i="27" s="1"/>
  <c r="O41" i="27"/>
  <c r="P41" i="27" s="1"/>
  <c r="O42" i="27"/>
  <c r="P42" i="27" s="1"/>
  <c r="O34" i="27"/>
  <c r="P34" i="27" s="1"/>
  <c r="O38" i="27"/>
  <c r="P38" i="27" s="1"/>
  <c r="O39" i="27"/>
  <c r="P39" i="27" s="1"/>
  <c r="O33" i="27"/>
  <c r="P33" i="27" s="1"/>
  <c r="O11" i="27"/>
  <c r="P11" i="27" s="1"/>
  <c r="O13" i="27"/>
  <c r="P13" i="27" s="1"/>
  <c r="O14" i="27"/>
  <c r="P14" i="27" s="1"/>
  <c r="O16" i="27"/>
  <c r="P16" i="27" s="1"/>
  <c r="O19" i="27"/>
  <c r="P19" i="27" s="1"/>
  <c r="O20" i="27"/>
  <c r="P20" i="27" s="1"/>
  <c r="O21" i="27"/>
  <c r="O22" i="27"/>
  <c r="P22" i="27" s="1"/>
  <c r="O23" i="27"/>
  <c r="P23" i="27" s="1"/>
  <c r="O26" i="27"/>
  <c r="P26" i="27" s="1"/>
  <c r="O28" i="27"/>
  <c r="P28" i="27" s="1"/>
  <c r="O29" i="27"/>
  <c r="P29" i="27" s="1"/>
  <c r="O30" i="27"/>
  <c r="P30" i="27" s="1"/>
  <c r="P21" i="27" l="1"/>
  <c r="Q64" i="27"/>
  <c r="K56" i="27"/>
  <c r="L56" i="27" s="1"/>
  <c r="AB56" i="27" l="1"/>
  <c r="AD56" i="27"/>
  <c r="M56" i="27"/>
  <c r="Y56" i="27"/>
  <c r="Z56" i="27"/>
  <c r="X56" i="27"/>
  <c r="AC56" i="27"/>
  <c r="AE56" i="27"/>
  <c r="AA56" i="27"/>
  <c r="O53" i="27"/>
  <c r="P53" i="27" s="1"/>
  <c r="O37" i="27"/>
  <c r="P37" i="27" s="1"/>
  <c r="O27" i="27"/>
  <c r="P27" i="27" s="1"/>
  <c r="F12" i="27"/>
  <c r="O12" i="27" l="1"/>
  <c r="P12" i="27" s="1"/>
  <c r="AH56" i="27"/>
  <c r="O10" i="27"/>
  <c r="P10" i="27" l="1"/>
  <c r="E63" i="31"/>
  <c r="E56" i="32" s="1"/>
  <c r="U64" i="27"/>
  <c r="K53" i="27" l="1"/>
  <c r="L53" i="27" s="1"/>
  <c r="K54" i="27"/>
  <c r="L54" i="27" s="1"/>
  <c r="K55" i="27"/>
  <c r="L55" i="27" s="1"/>
  <c r="AB55" i="27" l="1"/>
  <c r="AD55" i="27"/>
  <c r="Y55" i="27"/>
  <c r="Z55" i="27"/>
  <c r="AA55" i="27"/>
  <c r="AC55" i="27"/>
  <c r="AE55" i="27"/>
  <c r="M55" i="27"/>
  <c r="X55" i="27"/>
  <c r="AB54" i="27"/>
  <c r="M54" i="27"/>
  <c r="AD54" i="27"/>
  <c r="Y54" i="27"/>
  <c r="Z54" i="27"/>
  <c r="AA54" i="27"/>
  <c r="X54" i="27"/>
  <c r="AC54" i="27"/>
  <c r="AE54" i="27"/>
  <c r="AB53" i="27"/>
  <c r="AD53" i="27"/>
  <c r="Y53" i="27"/>
  <c r="Z53" i="27"/>
  <c r="AA53" i="27"/>
  <c r="M53" i="27"/>
  <c r="AH53" i="27" s="1"/>
  <c r="AC53" i="27"/>
  <c r="AE53" i="27"/>
  <c r="X53" i="27"/>
  <c r="K12" i="27"/>
  <c r="K13" i="27"/>
  <c r="L13" i="27" s="1"/>
  <c r="AH55" i="27" l="1"/>
  <c r="AB13" i="27"/>
  <c r="AD13" i="27"/>
  <c r="AE13" i="27"/>
  <c r="Y13" i="27"/>
  <c r="AA13" i="27"/>
  <c r="Z13" i="27"/>
  <c r="M13" i="27"/>
  <c r="AC13" i="27"/>
  <c r="X13" i="27"/>
  <c r="AH54" i="27"/>
  <c r="L12" i="27"/>
  <c r="AB12" i="27" l="1"/>
  <c r="M12" i="27"/>
  <c r="AD12" i="27"/>
  <c r="AE12" i="27"/>
  <c r="Y12" i="27"/>
  <c r="AA12" i="27"/>
  <c r="Z12" i="27"/>
  <c r="X12" i="27"/>
  <c r="AC12" i="27"/>
  <c r="AH13" i="27"/>
  <c r="E60" i="31"/>
  <c r="E53" i="32" s="1"/>
  <c r="E61" i="31"/>
  <c r="E54" i="32" s="1"/>
  <c r="AH12" i="27" l="1"/>
  <c r="E62" i="31"/>
  <c r="K17" i="27"/>
  <c r="L17" i="27" s="1"/>
  <c r="K18" i="27"/>
  <c r="L18" i="27" s="1"/>
  <c r="AB18" i="27" l="1"/>
  <c r="AD18" i="27"/>
  <c r="AE18" i="27"/>
  <c r="Y18" i="27"/>
  <c r="M18" i="27"/>
  <c r="AA18" i="27"/>
  <c r="Z18" i="27"/>
  <c r="X18" i="27"/>
  <c r="AC18" i="27"/>
  <c r="AB17" i="27"/>
  <c r="AD17" i="27"/>
  <c r="AE17" i="27"/>
  <c r="Y17" i="27"/>
  <c r="M17" i="27"/>
  <c r="AA17" i="27"/>
  <c r="Z17" i="27"/>
  <c r="X17" i="27"/>
  <c r="AC17" i="27"/>
  <c r="E55" i="32"/>
  <c r="K14" i="27"/>
  <c r="AH17" i="27" l="1"/>
  <c r="AH18" i="27"/>
  <c r="L14" i="27"/>
  <c r="AB14" i="27" l="1"/>
  <c r="AD14" i="27"/>
  <c r="M14" i="27"/>
  <c r="AE14" i="27"/>
  <c r="Y14" i="27"/>
  <c r="AA14" i="27"/>
  <c r="Z14" i="27"/>
  <c r="X14" i="27"/>
  <c r="AC14" i="27"/>
  <c r="K50" i="27"/>
  <c r="L50" i="27" s="1"/>
  <c r="K51" i="27"/>
  <c r="K43" i="27"/>
  <c r="L43" i="27" s="1"/>
  <c r="K44" i="27"/>
  <c r="K45" i="27"/>
  <c r="L45" i="27" s="1"/>
  <c r="K46" i="27"/>
  <c r="K48" i="27"/>
  <c r="L48" i="27" s="1"/>
  <c r="K38" i="27"/>
  <c r="L38" i="27" s="1"/>
  <c r="K39" i="27"/>
  <c r="L39" i="27" s="1"/>
  <c r="K40" i="27"/>
  <c r="L40" i="27" s="1"/>
  <c r="K41" i="27"/>
  <c r="L41" i="27" s="1"/>
  <c r="K42" i="27"/>
  <c r="K33" i="27"/>
  <c r="L33" i="27" s="1"/>
  <c r="K34" i="27"/>
  <c r="L34" i="27" s="1"/>
  <c r="K37" i="27"/>
  <c r="L37" i="27" s="1"/>
  <c r="K31" i="27"/>
  <c r="L31" i="27" s="1"/>
  <c r="K32" i="27"/>
  <c r="L32" i="27" s="1"/>
  <c r="K26" i="27"/>
  <c r="L26" i="27" s="1"/>
  <c r="K27" i="27"/>
  <c r="L27" i="27" s="1"/>
  <c r="K28" i="27"/>
  <c r="L28" i="27" s="1"/>
  <c r="K29" i="27"/>
  <c r="L29" i="27" s="1"/>
  <c r="K30" i="27"/>
  <c r="L30" i="27" s="1"/>
  <c r="K19" i="27"/>
  <c r="K20" i="27"/>
  <c r="L20" i="27" s="1"/>
  <c r="K21" i="27"/>
  <c r="K22" i="27"/>
  <c r="L22" i="27" s="1"/>
  <c r="K23" i="27"/>
  <c r="L23" i="27" s="1"/>
  <c r="K25" i="27"/>
  <c r="L25" i="27" s="1"/>
  <c r="K16" i="27"/>
  <c r="K10" i="27"/>
  <c r="K11" i="27"/>
  <c r="L21" i="27" l="1"/>
  <c r="AB45" i="27"/>
  <c r="AD45" i="27"/>
  <c r="Y45" i="27"/>
  <c r="Z45" i="27"/>
  <c r="X45" i="27"/>
  <c r="AA45" i="27"/>
  <c r="AC45" i="27"/>
  <c r="M45" i="27"/>
  <c r="AE45" i="27"/>
  <c r="AB34" i="27"/>
  <c r="AD34" i="27"/>
  <c r="AE34" i="27"/>
  <c r="Y34" i="27"/>
  <c r="AA34" i="27"/>
  <c r="Z34" i="27"/>
  <c r="M34" i="27"/>
  <c r="X34" i="27"/>
  <c r="AC34" i="27"/>
  <c r="AB33" i="27"/>
  <c r="AD33" i="27"/>
  <c r="AE33" i="27"/>
  <c r="Y33" i="27"/>
  <c r="AA33" i="27"/>
  <c r="Z33" i="27"/>
  <c r="X33" i="27"/>
  <c r="M33" i="27"/>
  <c r="AC33" i="27"/>
  <c r="AB23" i="27"/>
  <c r="AD23" i="27"/>
  <c r="AE23" i="27"/>
  <c r="Y23" i="27"/>
  <c r="AA23" i="27"/>
  <c r="Z23" i="27"/>
  <c r="X23" i="27"/>
  <c r="AC23" i="27"/>
  <c r="M23" i="27"/>
  <c r="AB43" i="27"/>
  <c r="AD43" i="27"/>
  <c r="Y43" i="27"/>
  <c r="M43" i="27"/>
  <c r="Z43" i="27"/>
  <c r="X43" i="27"/>
  <c r="AA43" i="27"/>
  <c r="AC43" i="27"/>
  <c r="AE43" i="27"/>
  <c r="AB37" i="27"/>
  <c r="AD37" i="27"/>
  <c r="AE37" i="27"/>
  <c r="Y37" i="27"/>
  <c r="Z37" i="27"/>
  <c r="AA37" i="27"/>
  <c r="AC37" i="27"/>
  <c r="M37" i="27"/>
  <c r="X37" i="27"/>
  <c r="AB27" i="27"/>
  <c r="AD27" i="27"/>
  <c r="AE27" i="27"/>
  <c r="Y27" i="27"/>
  <c r="M27" i="27"/>
  <c r="AA27" i="27"/>
  <c r="Z27" i="27"/>
  <c r="X27" i="27"/>
  <c r="AC27" i="27"/>
  <c r="AB22" i="27"/>
  <c r="AD22" i="27"/>
  <c r="M22" i="27"/>
  <c r="AE22" i="27"/>
  <c r="Y22" i="27"/>
  <c r="AA22" i="27"/>
  <c r="Z22" i="27"/>
  <c r="X22" i="27"/>
  <c r="AC22" i="27"/>
  <c r="AB26" i="27"/>
  <c r="AD26" i="27"/>
  <c r="AE26" i="27"/>
  <c r="Y26" i="27"/>
  <c r="M26" i="27"/>
  <c r="AH26" i="27" s="1"/>
  <c r="AA26" i="27"/>
  <c r="Z26" i="27"/>
  <c r="X26" i="27"/>
  <c r="AC26" i="27"/>
  <c r="AB40" i="27"/>
  <c r="AD40" i="27"/>
  <c r="M40" i="27"/>
  <c r="Y40" i="27"/>
  <c r="Z40" i="27"/>
  <c r="AA40" i="27"/>
  <c r="AC40" i="27"/>
  <c r="AE40" i="27"/>
  <c r="X40" i="27"/>
  <c r="AH14" i="27"/>
  <c r="AB48" i="27"/>
  <c r="AD48" i="27"/>
  <c r="M48" i="27"/>
  <c r="Y48" i="27"/>
  <c r="Z48" i="27"/>
  <c r="AA48" i="27"/>
  <c r="AC48" i="27"/>
  <c r="AE48" i="27"/>
  <c r="X48" i="27"/>
  <c r="AB29" i="27"/>
  <c r="M29" i="27"/>
  <c r="AD29" i="27"/>
  <c r="AE29" i="27"/>
  <c r="Y29" i="27"/>
  <c r="AA29" i="27"/>
  <c r="Z29" i="27"/>
  <c r="X29" i="27"/>
  <c r="AC29" i="27"/>
  <c r="AB25" i="27"/>
  <c r="AD25" i="27"/>
  <c r="AE25" i="27"/>
  <c r="Y25" i="27"/>
  <c r="AA25" i="27"/>
  <c r="Z25" i="27"/>
  <c r="AC25" i="27"/>
  <c r="X25" i="27"/>
  <c r="M25" i="27"/>
  <c r="AB28" i="27"/>
  <c r="AD28" i="27"/>
  <c r="AE28" i="27"/>
  <c r="Y28" i="27"/>
  <c r="AA28" i="27"/>
  <c r="Z28" i="27"/>
  <c r="AC28" i="27"/>
  <c r="X28" i="27"/>
  <c r="M28" i="27"/>
  <c r="AB21" i="27"/>
  <c r="AD21" i="27"/>
  <c r="AE21" i="27"/>
  <c r="Y21" i="27"/>
  <c r="AA21" i="27"/>
  <c r="Z21" i="27"/>
  <c r="X21" i="27"/>
  <c r="AC21" i="27"/>
  <c r="M21" i="27"/>
  <c r="AB32" i="27"/>
  <c r="AD32" i="27"/>
  <c r="M32" i="27"/>
  <c r="AE32" i="27"/>
  <c r="Y32" i="27"/>
  <c r="AA32" i="27"/>
  <c r="Z32" i="27"/>
  <c r="AC32" i="27"/>
  <c r="X32" i="27"/>
  <c r="AB39" i="27"/>
  <c r="AD39" i="27"/>
  <c r="Y39" i="27"/>
  <c r="Z39" i="27"/>
  <c r="X39" i="27"/>
  <c r="AA39" i="27"/>
  <c r="AC39" i="27"/>
  <c r="M39" i="27"/>
  <c r="AE39" i="27"/>
  <c r="AB50" i="27"/>
  <c r="AD50" i="27"/>
  <c r="Y50" i="27"/>
  <c r="Z50" i="27"/>
  <c r="M50" i="27"/>
  <c r="X50" i="27"/>
  <c r="AC50" i="27"/>
  <c r="AA50" i="27"/>
  <c r="AE50" i="27"/>
  <c r="AB41" i="27"/>
  <c r="AD41" i="27"/>
  <c r="Y41" i="27"/>
  <c r="Z41" i="27"/>
  <c r="X41" i="27"/>
  <c r="AC41" i="27"/>
  <c r="M41" i="27"/>
  <c r="AA41" i="27"/>
  <c r="AE41" i="27"/>
  <c r="AB20" i="27"/>
  <c r="M20" i="27"/>
  <c r="AD20" i="27"/>
  <c r="AE20" i="27"/>
  <c r="Y20" i="27"/>
  <c r="AA20" i="27"/>
  <c r="Z20" i="27"/>
  <c r="X20" i="27"/>
  <c r="AC20" i="27"/>
  <c r="AB31" i="27"/>
  <c r="AD31" i="27"/>
  <c r="AE31" i="27"/>
  <c r="Y31" i="27"/>
  <c r="AA31" i="27"/>
  <c r="Z31" i="27"/>
  <c r="X31" i="27"/>
  <c r="M31" i="27"/>
  <c r="AC31" i="27"/>
  <c r="AB38" i="27"/>
  <c r="M38" i="27"/>
  <c r="AD38" i="27"/>
  <c r="Y38" i="27"/>
  <c r="Z38" i="27"/>
  <c r="AA38" i="27"/>
  <c r="AC38" i="27"/>
  <c r="AE38" i="27"/>
  <c r="X38" i="27"/>
  <c r="AB30" i="27"/>
  <c r="AC30" i="27"/>
  <c r="AD30" i="27"/>
  <c r="M30" i="27"/>
  <c r="AE30" i="27"/>
  <c r="X30" i="27"/>
  <c r="Z30" i="27"/>
  <c r="AA30" i="27"/>
  <c r="Y30" i="27"/>
  <c r="L51" i="27"/>
  <c r="L46" i="27"/>
  <c r="L44" i="27"/>
  <c r="L19" i="27"/>
  <c r="L42" i="27"/>
  <c r="AH38" i="27" l="1"/>
  <c r="AH32" i="27"/>
  <c r="AH43" i="27"/>
  <c r="AH50" i="27"/>
  <c r="AH45" i="27"/>
  <c r="AH34" i="27"/>
  <c r="AH21" i="27"/>
  <c r="AH20" i="27"/>
  <c r="AH25" i="27"/>
  <c r="AH29" i="27"/>
  <c r="AH31" i="27"/>
  <c r="AH37" i="27"/>
  <c r="AB19" i="27"/>
  <c r="AD19" i="27"/>
  <c r="AE19" i="27"/>
  <c r="Y19" i="27"/>
  <c r="AA19" i="27"/>
  <c r="Z19" i="27"/>
  <c r="M19" i="27"/>
  <c r="AC19" i="27"/>
  <c r="X19" i="27"/>
  <c r="AH40" i="27"/>
  <c r="AH23" i="27"/>
  <c r="AB44" i="27"/>
  <c r="AD44" i="27"/>
  <c r="Y44" i="27"/>
  <c r="M44" i="27"/>
  <c r="Z44" i="27"/>
  <c r="AA44" i="27"/>
  <c r="AC44" i="27"/>
  <c r="AE44" i="27"/>
  <c r="X44" i="27"/>
  <c r="AH27" i="27"/>
  <c r="AH41" i="27"/>
  <c r="AH28" i="27"/>
  <c r="AH48" i="27"/>
  <c r="AB42" i="27"/>
  <c r="AD42" i="27"/>
  <c r="Y42" i="27"/>
  <c r="Z42" i="27"/>
  <c r="AA42" i="27"/>
  <c r="AC42" i="27"/>
  <c r="AE42" i="27"/>
  <c r="M42" i="27"/>
  <c r="X42" i="27"/>
  <c r="AH30" i="27"/>
  <c r="AB46" i="27"/>
  <c r="M46" i="27"/>
  <c r="AD46" i="27"/>
  <c r="Y46" i="27"/>
  <c r="Z46" i="27"/>
  <c r="AA46" i="27"/>
  <c r="AC46" i="27"/>
  <c r="AE46" i="27"/>
  <c r="X46" i="27"/>
  <c r="AH22" i="27"/>
  <c r="AH33" i="27"/>
  <c r="AB51" i="27"/>
  <c r="AD51" i="27"/>
  <c r="Y51" i="27"/>
  <c r="M51" i="27"/>
  <c r="Z51" i="27"/>
  <c r="AA51" i="27"/>
  <c r="AC51" i="27"/>
  <c r="AE51" i="27"/>
  <c r="X51" i="27"/>
  <c r="AH39" i="27"/>
  <c r="O51" i="27"/>
  <c r="P51" i="27" s="1"/>
  <c r="AH19" i="27" l="1"/>
  <c r="AH42" i="27"/>
  <c r="AH46" i="27"/>
  <c r="AH51" i="27"/>
  <c r="AH44" i="27"/>
  <c r="E59" i="31"/>
  <c r="E52" i="32" s="1"/>
  <c r="AM7" i="27" l="1"/>
  <c r="O47" i="27"/>
  <c r="P47" i="27" s="1"/>
  <c r="F15" i="27"/>
  <c r="F8" i="27" l="1"/>
  <c r="F64" i="27" s="1"/>
  <c r="I15" i="27"/>
  <c r="I8" i="27" s="1"/>
  <c r="K47" i="27"/>
  <c r="I64" i="27" l="1"/>
  <c r="AY11" i="27"/>
  <c r="AO15" i="27"/>
  <c r="K15" i="27"/>
  <c r="K8" i="27" s="1"/>
  <c r="K64" i="27" s="1"/>
  <c r="O15" i="27"/>
  <c r="L47" i="27"/>
  <c r="L15" i="27" l="1"/>
  <c r="P15" i="27"/>
  <c r="O8" i="27"/>
  <c r="O64" i="27" s="1"/>
  <c r="AB47" i="27"/>
  <c r="AD47" i="27"/>
  <c r="Y47" i="27"/>
  <c r="Z47" i="27"/>
  <c r="M47" i="27"/>
  <c r="X47" i="27"/>
  <c r="AC47" i="27"/>
  <c r="AE47" i="27"/>
  <c r="AA47" i="27"/>
  <c r="AB15" i="27" l="1"/>
  <c r="M15" i="27"/>
  <c r="AC15" i="27"/>
  <c r="AA15" i="27"/>
  <c r="AD15" i="27"/>
  <c r="AE15" i="27"/>
  <c r="X15" i="27"/>
  <c r="Y15" i="27"/>
  <c r="AH15" i="27" s="1"/>
  <c r="Z15" i="27"/>
  <c r="P8" i="27"/>
  <c r="AH47" i="27"/>
  <c r="L10" i="27"/>
  <c r="L11" i="27"/>
  <c r="L16" i="27"/>
  <c r="AO16" i="27"/>
  <c r="I14" i="31"/>
  <c r="J15" i="31"/>
  <c r="J14" i="31" s="1"/>
  <c r="N15" i="31"/>
  <c r="N14" i="31" s="1"/>
  <c r="O15" i="31"/>
  <c r="O14" i="31" s="1"/>
  <c r="G17" i="31"/>
  <c r="G22" i="31"/>
  <c r="G24" i="31"/>
  <c r="G31" i="31"/>
  <c r="G35" i="31"/>
  <c r="G39" i="31"/>
  <c r="L8" i="27" l="1"/>
  <c r="AO11" i="27"/>
  <c r="AB16" i="27"/>
  <c r="AD16" i="27"/>
  <c r="AE16" i="27"/>
  <c r="Y16" i="27"/>
  <c r="AA16" i="27"/>
  <c r="Z16" i="27"/>
  <c r="M16" i="27"/>
  <c r="X16" i="27"/>
  <c r="AC16" i="27"/>
  <c r="AB11" i="27"/>
  <c r="AD11" i="27"/>
  <c r="AE11" i="27"/>
  <c r="Y11" i="27"/>
  <c r="AA11" i="27"/>
  <c r="Z11" i="27"/>
  <c r="M11" i="27"/>
  <c r="X11" i="27"/>
  <c r="AC11" i="27"/>
  <c r="AB10" i="27"/>
  <c r="AD10" i="27"/>
  <c r="AE10" i="27"/>
  <c r="Y10" i="27"/>
  <c r="M10" i="27"/>
  <c r="AA10" i="27"/>
  <c r="AA8" i="27" s="1"/>
  <c r="Z10" i="27"/>
  <c r="Z8" i="27" s="1"/>
  <c r="AC10" i="27"/>
  <c r="X10" i="27"/>
  <c r="AO22" i="27"/>
  <c r="W64" i="27"/>
  <c r="R64" i="27"/>
  <c r="G15" i="31"/>
  <c r="G14" i="31" s="1"/>
  <c r="AE8" i="27" l="1"/>
  <c r="Y8" i="27"/>
  <c r="AC8" i="27"/>
  <c r="M8" i="27"/>
  <c r="AD8" i="27"/>
  <c r="X8" i="27"/>
  <c r="AB8" i="27"/>
  <c r="AO14" i="27"/>
  <c r="AO12" i="27"/>
  <c r="AH11" i="27"/>
  <c r="AH10" i="27"/>
  <c r="AH16" i="27"/>
  <c r="E35" i="31"/>
  <c r="E28" i="32" s="1"/>
  <c r="E30" i="31"/>
  <c r="E23" i="32" s="1"/>
  <c r="E21" i="31"/>
  <c r="E14" i="32" s="1"/>
  <c r="V64" i="27"/>
  <c r="T64" i="27"/>
  <c r="AO13" i="27"/>
  <c r="E23" i="31" l="1"/>
  <c r="E16" i="32" s="1"/>
  <c r="AV17" i="27"/>
  <c r="E58" i="31"/>
  <c r="E51" i="32" s="1"/>
  <c r="E56" i="31"/>
  <c r="E49" i="32" s="1"/>
  <c r="E55" i="31"/>
  <c r="E48" i="32" s="1"/>
  <c r="E54" i="31"/>
  <c r="E47" i="32" s="1"/>
  <c r="E49" i="31"/>
  <c r="E42" i="32" s="1"/>
  <c r="E47" i="31"/>
  <c r="E40" i="32" s="1"/>
  <c r="E42" i="31"/>
  <c r="E35" i="32" s="1"/>
  <c r="E44" i="31"/>
  <c r="E37" i="32" s="1"/>
  <c r="E46" i="31"/>
  <c r="E39" i="32" s="1"/>
  <c r="E43" i="31"/>
  <c r="E36" i="32" s="1"/>
  <c r="E48" i="31"/>
  <c r="E41" i="32" s="1"/>
  <c r="E45" i="31"/>
  <c r="E38" i="32" s="1"/>
  <c r="E36" i="31"/>
  <c r="E29" i="32" s="1"/>
  <c r="E40" i="31"/>
  <c r="E33" i="32" s="1"/>
  <c r="E39" i="31"/>
  <c r="E32" i="32" s="1"/>
  <c r="E38" i="31"/>
  <c r="E31" i="32" s="1"/>
  <c r="E41" i="31"/>
  <c r="E34" i="32" s="1"/>
  <c r="E37" i="31"/>
  <c r="E30" i="32" s="1"/>
  <c r="E34" i="31"/>
  <c r="E27" i="32" s="1"/>
  <c r="E31" i="31"/>
  <c r="E24" i="32" s="1"/>
  <c r="E32" i="31"/>
  <c r="E25" i="32" s="1"/>
  <c r="E33" i="31"/>
  <c r="E26" i="32" s="1"/>
  <c r="E26" i="31"/>
  <c r="E19" i="32" s="1"/>
  <c r="E25" i="31"/>
  <c r="E18" i="32" s="1"/>
  <c r="E28" i="31"/>
  <c r="E21" i="32" s="1"/>
  <c r="E29" i="31"/>
  <c r="E22" i="32" s="1"/>
  <c r="E19" i="31"/>
  <c r="E12" i="32" s="1"/>
  <c r="E18" i="31"/>
  <c r="E11" i="32" s="1"/>
  <c r="E17" i="31"/>
  <c r="E10" i="32" s="1"/>
  <c r="E20" i="31"/>
  <c r="E13" i="32" s="1"/>
  <c r="E53" i="31"/>
  <c r="E46" i="32" s="1"/>
  <c r="AO17" i="27"/>
  <c r="L64" i="27"/>
  <c r="P64" i="27"/>
  <c r="E51" i="31"/>
  <c r="E44" i="32" s="1"/>
  <c r="E52" i="31"/>
  <c r="E45" i="32" s="1"/>
  <c r="E50" i="31"/>
  <c r="E43" i="32" s="1"/>
  <c r="AH9" i="27"/>
  <c r="M64" i="27"/>
  <c r="Z64" i="27"/>
  <c r="AO26" i="27" s="1"/>
  <c r="X64" i="27"/>
  <c r="AO23" i="27" s="1"/>
  <c r="AC64" i="27"/>
  <c r="AB64" i="27"/>
  <c r="AA64" i="27"/>
  <c r="AO24" i="27" s="1"/>
  <c r="AD64" i="27"/>
  <c r="AO25" i="27" s="1"/>
  <c r="AE64" i="27"/>
  <c r="AJ6" i="27" l="1"/>
  <c r="Q15" i="31"/>
  <c r="Q11" i="31" s="1"/>
  <c r="AU17" i="27"/>
  <c r="AU5" i="27" s="1"/>
  <c r="E22" i="31"/>
  <c r="E15" i="32" s="1"/>
  <c r="Y64" i="27"/>
  <c r="E16" i="31" l="1"/>
  <c r="E9" i="32" s="1"/>
  <c r="E57" i="31"/>
  <c r="E50" i="32" s="1"/>
  <c r="E27" i="31"/>
  <c r="E20" i="32" s="1"/>
  <c r="E24" i="31"/>
  <c r="E17" i="32" l="1"/>
  <c r="AQ6" i="27"/>
  <c r="E15" i="31"/>
  <c r="F14" i="31"/>
  <c r="E14" i="31" s="1"/>
  <c r="K15" i="31" l="1"/>
  <c r="AM64" i="27"/>
  <c r="E63" i="32"/>
  <c r="D63" i="32"/>
</calcChain>
</file>

<file path=xl/sharedStrings.xml><?xml version="1.0" encoding="utf-8"?>
<sst xmlns="http://schemas.openxmlformats.org/spreadsheetml/2006/main" count="1748" uniqueCount="452">
  <si>
    <t>STT</t>
  </si>
  <si>
    <t>A</t>
  </si>
  <si>
    <t>B</t>
  </si>
  <si>
    <t>Nguyễn Xuân Thuận</t>
  </si>
  <si>
    <t>Võ Thị Mỹ Dung</t>
  </si>
  <si>
    <t>02.015</t>
  </si>
  <si>
    <t>Trần Quang Thái</t>
  </si>
  <si>
    <t>Nguyễn Tấn Sử</t>
  </si>
  <si>
    <t>Nguyễn Thị Khuyên</t>
  </si>
  <si>
    <t>Trần Thi Thương</t>
  </si>
  <si>
    <t>Nguyễn Văn Thắng</t>
  </si>
  <si>
    <t>Nguyễn Thị Lộc</t>
  </si>
  <si>
    <t>Nguyễn Thị Nguyệt</t>
  </si>
  <si>
    <t>17a.170</t>
  </si>
  <si>
    <t>Lê Thị Thanh Thủy</t>
  </si>
  <si>
    <t>Võ Duy Quý Linh</t>
  </si>
  <si>
    <t>Đoàn Thị Lành</t>
  </si>
  <si>
    <t>Dương Thị Huệ</t>
  </si>
  <si>
    <t>Nông Thị Huyền</t>
  </si>
  <si>
    <t>Thị Thảo Trinh</t>
  </si>
  <si>
    <t>Vũ Thị Ninh</t>
  </si>
  <si>
    <t>Phạm Thị Cầu</t>
  </si>
  <si>
    <t>Hoàng Thị Thúy</t>
  </si>
  <si>
    <t>Kế toán trưởng</t>
  </si>
  <si>
    <t>Lê Thị Thu Hà</t>
  </si>
  <si>
    <t>Nguyễn Thị Xuyên</t>
  </si>
  <si>
    <t>Đàm Thị Tú Trinh</t>
  </si>
  <si>
    <t>Nông Văn Linh</t>
  </si>
  <si>
    <t>Đơn vị: Trường Tiểu Học Thọ Sơn</t>
  </si>
  <si>
    <t>Mẫu số: C02-HD</t>
  </si>
  <si>
    <t>Mã QHNS: 1044510</t>
  </si>
  <si>
    <t>Họ 
và Tên</t>
  </si>
  <si>
    <t>Mã 
nghạch</t>
  </si>
  <si>
    <t>Hệ số 
lương</t>
  </si>
  <si>
    <t>Hệ số phụ cấp chức vụ</t>
  </si>
  <si>
    <t>Hệ số</t>
  </si>
  <si>
    <t>Cộng
 hệ số</t>
  </si>
  <si>
    <t>Tiền 
lương tháng</t>
  </si>
  <si>
    <t>Phụ cấp ưu đãi</t>
  </si>
  <si>
    <t>Ngày hưởng 
lương thực tế</t>
  </si>
  <si>
    <t>BHXH</t>
  </si>
  <si>
    <t>BHYT</t>
  </si>
  <si>
    <t>BHTN</t>
  </si>
  <si>
    <t>KPCĐ</t>
  </si>
  <si>
    <t>Thuế 
TNCN</t>
  </si>
  <si>
    <t>Giảm 
trừ gia cảnh</t>
  </si>
  <si>
    <t>Số 
thực lĩnh</t>
  </si>
  <si>
    <t>Ghi 
chú</t>
  </si>
  <si>
    <t>%</t>
  </si>
  <si>
    <t xml:space="preserve"> phụ 
cấp thâm niên VK</t>
  </si>
  <si>
    <t xml:space="preserve"> phụ 
cấp thâm niên nghề</t>
  </si>
  <si>
    <t>Hệ số tính hượng phụ cấp ưu đãi</t>
  </si>
  <si>
    <t>Số tiền phụ cấp ưu đãi</t>
  </si>
  <si>
    <t>Trừ vào
 lương 8%</t>
  </si>
  <si>
    <t>Trích 
vào CF 3%</t>
  </si>
  <si>
    <t>Trừ vào
 lương 1,5%</t>
  </si>
  <si>
    <t>Trích 
vào CF 1%</t>
  </si>
  <si>
    <t>Trừ vào
 lương 1%</t>
  </si>
  <si>
    <t>Trích 
vào CF 2%</t>
  </si>
  <si>
    <t>C</t>
  </si>
  <si>
    <t>D</t>
  </si>
  <si>
    <t>I</t>
  </si>
  <si>
    <t>Lương biên chế được duyệt</t>
  </si>
  <si>
    <t>Cộng</t>
  </si>
  <si>
    <t>Người lập</t>
  </si>
  <si>
    <t>Thủ trưởng đơn vị</t>
  </si>
  <si>
    <t>(Ký, họ tên)</t>
  </si>
  <si>
    <t>Trương Thị Oanh</t>
  </si>
  <si>
    <t>BHTNLĐ-BNN</t>
  </si>
  <si>
    <t>Trích 
vào CF 17%</t>
  </si>
  <si>
    <t>Trích 
vào CF 0,5%</t>
  </si>
  <si>
    <t>Nguyễn Thị Hoa</t>
  </si>
  <si>
    <t>Đoàn Thi Hoa</t>
  </si>
  <si>
    <t>Phụ cấp khu vực 0,5</t>
  </si>
  <si>
    <t>Phụ cấp trách nhiệm</t>
  </si>
  <si>
    <t>Phụ cấp độc hại</t>
  </si>
  <si>
    <t>Số tiền</t>
  </si>
  <si>
    <t>Điểu Bers</t>
  </si>
  <si>
    <t>BẢNG THANH TOÁN CHO ĐỐI TƯỢNG THỤ HƯỞNG</t>
  </si>
  <si>
    <t xml:space="preserve">Tài khoản tiền gửi </t>
  </si>
  <si>
    <t>Tài khoản ngân hàng</t>
  </si>
  <si>
    <t>Trong đó</t>
  </si>
  <si>
    <t>Số tài khoản người hưởng</t>
  </si>
  <si>
    <t>Tên ngân hàng</t>
  </si>
  <si>
    <t>Lương và Phụ cấp theo lương</t>
  </si>
  <si>
    <t xml:space="preserve">Tổng số </t>
  </si>
  <si>
    <t>II</t>
  </si>
  <si>
    <t>II. Phần thuyết minh thay đổi so với tháng trước:</t>
  </si>
  <si>
    <t>Nguyễn Thị Xuân</t>
  </si>
  <si>
    <t>Nguyễn Thị Thanh Bình</t>
  </si>
  <si>
    <t>V.07.03.08</t>
  </si>
  <si>
    <t>21</t>
  </si>
  <si>
    <t>17</t>
  </si>
  <si>
    <t>Nguyễn Văn Cường</t>
  </si>
  <si>
    <t>Nguyễn Thị Hồng Việt</t>
  </si>
  <si>
    <t>Nguyễn Thị Trúc Linh</t>
  </si>
  <si>
    <t>Trần Thị Thủy</t>
  </si>
  <si>
    <t>19</t>
  </si>
  <si>
    <t>Nguyễn Thị Thu Hương</t>
  </si>
  <si>
    <t>20</t>
  </si>
  <si>
    <t>Phạm Thị Ngắm</t>
  </si>
  <si>
    <t>16</t>
  </si>
  <si>
    <t>Bùi Tấn Nam</t>
  </si>
  <si>
    <t>13</t>
  </si>
  <si>
    <t>Đặng Thị Mỹ Hạnh</t>
  </si>
  <si>
    <t>12</t>
  </si>
  <si>
    <t>11</t>
  </si>
  <si>
    <t>Nguyễn Đức Khánh</t>
  </si>
  <si>
    <t>10</t>
  </si>
  <si>
    <t>8</t>
  </si>
  <si>
    <t>Điểu Drú</t>
  </si>
  <si>
    <t>6</t>
  </si>
  <si>
    <t>Bùi Thị Duyên</t>
  </si>
  <si>
    <t>V.07.03.09</t>
  </si>
  <si>
    <t>Đỗ Văn Tùng</t>
  </si>
  <si>
    <t>16b.121</t>
  </si>
  <si>
    <t>Trần Thị Thương</t>
  </si>
  <si>
    <t>Mẫu số :09</t>
  </si>
  <si>
    <t>Mã hiệu : ………….</t>
  </si>
  <si>
    <t>Ghi chú</t>
  </si>
  <si>
    <t>Tiền thưởng</t>
  </si>
  <si>
    <t>Tiền phụ cấp và trợ cấp khác</t>
  </si>
  <si>
    <t>Tiền học bổng</t>
  </si>
  <si>
    <t>V.07.03.07</t>
  </si>
  <si>
    <t>Giao dịch viên</t>
  </si>
  <si>
    <t>Đơn vị: TRƯỜNG TIỂU HỌC THỌ SƠN</t>
  </si>
  <si>
    <t>Địa chỉ: Thôn Sơn Lợi, xã Thọ Sơn, huyện Bù Đăng, tỉnh Bình Phước</t>
  </si>
  <si>
    <t>Số TT</t>
  </si>
  <si>
    <t>Họ và tên</t>
  </si>
  <si>
    <t>Số tài khoản</t>
  </si>
  <si>
    <t>Tổng nhận</t>
  </si>
  <si>
    <t>Tổng cộng</t>
  </si>
  <si>
    <t>Kế toán</t>
  </si>
  <si>
    <t xml:space="preserve">       Thủ trưởng đơn vị</t>
  </si>
  <si>
    <t>18</t>
  </si>
  <si>
    <t>7</t>
  </si>
  <si>
    <t>9</t>
  </si>
  <si>
    <t>1</t>
  </si>
  <si>
    <t>2</t>
  </si>
  <si>
    <t>3</t>
  </si>
  <si>
    <t>4</t>
  </si>
  <si>
    <t>5</t>
  </si>
  <si>
    <t>14</t>
  </si>
  <si>
    <t>15</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</si>
  <si>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</si>
  <si>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</si>
  <si>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</si>
  <si>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</si>
  <si>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</si>
  <si>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</si>
  <si>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</si>
  <si>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</si>
  <si>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</si>
  <si>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</si>
  <si>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</si>
  <si>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</si>
  <si>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</si>
  <si>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</si>
  <si>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</si>
  <si>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</si>
  <si>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</si>
  <si>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</si>
  <si>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</si>
  <si>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</si>
  <si>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</si>
  <si>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</si>
  <si>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</si>
  <si>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</si>
  <si>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</si>
  <si>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</si>
  <si>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</si>
  <si>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</si>
  <si>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 xml:space="preserve">Nguyễn Lục Anh </t>
  </si>
  <si>
    <t>Nguyễn Thị Lệ Thuyền</t>
  </si>
  <si>
    <t xml:space="preserve">Nguyễn Thị Lệ Thuyền </t>
  </si>
  <si>
    <t>06031</t>
  </si>
  <si>
    <t xml:space="preserve">Lương biên chế </t>
  </si>
  <si>
    <t xml:space="preserve">Chức vụ </t>
  </si>
  <si>
    <t>độc hại</t>
  </si>
  <si>
    <t>Ưu đãi</t>
  </si>
  <si>
    <t xml:space="preserve">Thâm niên VK, TN nghề </t>
  </si>
  <si>
    <t xml:space="preserve">GIẤY RÚT LƯƠNG </t>
  </si>
  <si>
    <t xml:space="preserve">100% luong </t>
  </si>
  <si>
    <t xml:space="preserve">LUONG </t>
  </si>
  <si>
    <t xml:space="preserve">HD </t>
  </si>
  <si>
    <t xml:space="preserve">CV </t>
  </si>
  <si>
    <t xml:space="preserve">TNIEN </t>
  </si>
  <si>
    <t xml:space="preserve">bhxh </t>
  </si>
  <si>
    <t>hd</t>
  </si>
  <si>
    <t>cv</t>
  </si>
  <si>
    <t xml:space="preserve">tham nien </t>
  </si>
  <si>
    <t xml:space="preserve">Thời gian nâng lương lần sau </t>
  </si>
  <si>
    <t xml:space="preserve">Thời gian hết tập sự </t>
  </si>
  <si>
    <t>3/2004</t>
  </si>
  <si>
    <t>3/1999</t>
  </si>
  <si>
    <t>4/2005</t>
  </si>
  <si>
    <t>3/2000</t>
  </si>
  <si>
    <t>3/2006</t>
  </si>
  <si>
    <t>4/1998</t>
  </si>
  <si>
    <t>9/1996</t>
  </si>
  <si>
    <t>3/2007</t>
  </si>
  <si>
    <t>3/2002</t>
  </si>
  <si>
    <t>9/1994</t>
  </si>
  <si>
    <t>3/2009</t>
  </si>
  <si>
    <t>9/2010</t>
  </si>
  <si>
    <t>4/2012</t>
  </si>
  <si>
    <t>16/3/2016</t>
  </si>
  <si>
    <t>3/2001</t>
  </si>
  <si>
    <t>02/2017</t>
  </si>
  <si>
    <t>3/2010</t>
  </si>
  <si>
    <t>3/2021</t>
  </si>
  <si>
    <t>11/2020</t>
  </si>
  <si>
    <t>3/2020</t>
  </si>
  <si>
    <t>1.Đơn vị sử dụng ngân sách : Trường Tiểu Học Thọ Sơn</t>
  </si>
  <si>
    <t>2. Mã đơn vị: 1044510</t>
  </si>
  <si>
    <t>4/2011</t>
  </si>
  <si>
    <t xml:space="preserve">Đặng Thị Thảo </t>
  </si>
  <si>
    <t>Phụ cấ
p Lưu động,  0,2</t>
  </si>
  <si>
    <t>9/2021</t>
  </si>
  <si>
    <t>SĐT DĐ: 0385513544</t>
  </si>
  <si>
    <t xml:space="preserve">      (Ký, họ tên, đóng dấu)</t>
  </si>
  <si>
    <t>DANH SÁCH CBCNV CHI LƯƠNG QUA NGÂN HÀNG AGRIBANK CHI NHÁNH BÙ ĐĂNG -BP</t>
  </si>
  <si>
    <t xml:space="preserve">Trần Thị Xuân Tuyền </t>
  </si>
  <si>
    <t xml:space="preserve">Thị Sâm </t>
  </si>
  <si>
    <t>5606205366872</t>
  </si>
  <si>
    <t>5606205221199</t>
  </si>
  <si>
    <t>5606205130540</t>
  </si>
  <si>
    <t xml:space="preserve">Lý A Kiệm </t>
  </si>
  <si>
    <t xml:space="preserve">Nguyễn Thị Vân </t>
  </si>
  <si>
    <t>11/2017</t>
  </si>
  <si>
    <t xml:space="preserve">Trần Thị Thúy Diễm </t>
  </si>
  <si>
    <t xml:space="preserve">Agribank Bù Đăng </t>
  </si>
  <si>
    <t>5606205340278</t>
  </si>
  <si>
    <t>5606215000461</t>
  </si>
  <si>
    <t>5606205204227</t>
  </si>
  <si>
    <t>5606215000563</t>
  </si>
  <si>
    <t>5606205036490</t>
  </si>
  <si>
    <t>5606215002076</t>
  </si>
  <si>
    <t>5606205030124</t>
  </si>
  <si>
    <t>5606938393939</t>
  </si>
  <si>
    <t>5606205030074</t>
  </si>
  <si>
    <t>5606205064858</t>
  </si>
  <si>
    <t>5606205055755</t>
  </si>
  <si>
    <t>5606205271384</t>
  </si>
  <si>
    <t>5606205071410</t>
  </si>
  <si>
    <t>5606205225358</t>
  </si>
  <si>
    <t>5606205032011</t>
  </si>
  <si>
    <t>5606205003150</t>
  </si>
  <si>
    <t>5606205024899</t>
  </si>
  <si>
    <t>5606215003085</t>
  </si>
  <si>
    <t>5606205292247</t>
  </si>
  <si>
    <t>Trần Thị Thùy Diễm</t>
  </si>
  <si>
    <t xml:space="preserve">luong bc </t>
  </si>
  <si>
    <t xml:space="preserve">hd </t>
  </si>
  <si>
    <t>5606215000449</t>
  </si>
  <si>
    <t>5606205184526</t>
  </si>
  <si>
    <t xml:space="preserve">khu vực </t>
  </si>
  <si>
    <t>Tiền thu nhập tăng thêm</t>
  </si>
  <si>
    <t xml:space="preserve">3. Tài khoản thanh toán của đơn vị mở tại ngân hàng thương mại  5606201000498   Tại Ngân hàng Nông Nghiệp phát triển Nông Thôn Việt Nam - chi Nhánh Huyện Bù Đăng  Tỉnh Bình Phước </t>
  </si>
  <si>
    <t>Đơn vị : Đồng</t>
  </si>
  <si>
    <t>(1)</t>
  </si>
  <si>
    <t>Tiền khoán</t>
  </si>
  <si>
    <t>(2)</t>
  </si>
  <si>
    <t>(3)</t>
  </si>
  <si>
    <t>(4)</t>
  </si>
  <si>
    <t>(5)</t>
  </si>
  <si>
    <t>(6)</t>
  </si>
  <si>
    <t>(7)</t>
  </si>
  <si>
    <t>(8)</t>
  </si>
  <si>
    <t>(9)</t>
  </si>
  <si>
    <t>(10)</t>
  </si>
  <si>
    <t>(11)</t>
  </si>
  <si>
    <t>(12)</t>
  </si>
  <si>
    <t>(Ký, ghi rõ họ tên)</t>
  </si>
  <si>
    <t>(Ký, ghi rõ họ tên, đóng dấu)</t>
  </si>
  <si>
    <t xml:space="preserve">                               KHO BẠC NHA NƯỚC</t>
  </si>
  <si>
    <t xml:space="preserve">                       Kế toán trưởng</t>
  </si>
  <si>
    <t>03/2022</t>
  </si>
  <si>
    <t>16/3/2022</t>
  </si>
  <si>
    <t xml:space="preserve">Tài khoản dự toán       </t>
  </si>
  <si>
    <t xml:space="preserve">                                      Giám đốc KBNN huyện Bù Đăng</t>
  </si>
  <si>
    <t>Đơn vị: Đồng</t>
  </si>
  <si>
    <t>Điểu Đer</t>
  </si>
  <si>
    <t xml:space="preserve">Nguyễn Xuân Kha </t>
  </si>
  <si>
    <t xml:space="preserve">Hồ Thị Quế </t>
  </si>
  <si>
    <t>9/2022</t>
  </si>
  <si>
    <t>5606215000881</t>
  </si>
  <si>
    <t>5606215008151</t>
  </si>
  <si>
    <t>5606215007982</t>
  </si>
  <si>
    <t>3/2005</t>
  </si>
  <si>
    <t>01,011</t>
  </si>
  <si>
    <t>01,009</t>
  </si>
  <si>
    <t>24/10/2022</t>
  </si>
  <si>
    <t>5606205372070</t>
  </si>
  <si>
    <t>5606205372064</t>
  </si>
  <si>
    <t>11/10/2022</t>
  </si>
  <si>
    <t>Đối với công chức, viên chức</t>
  </si>
  <si>
    <t>9/2006</t>
  </si>
  <si>
    <t>4/2013</t>
  </si>
  <si>
    <t>Đối với lao động hợp đồng thực hiện công việc hỗ trợ,
 phục vụ theo nghị định 111/2022/NĐ-CP</t>
  </si>
  <si>
    <t>Tiền công lao động theo hợp đồng</t>
  </si>
  <si>
    <t>Đối với lao động hợp đồng thực hiện công việc hỗ trợ, phục vụ theo nghị định 111/2022/NĐ-CP</t>
  </si>
  <si>
    <t xml:space="preserve">Trần Thị Xuân Tuyền  </t>
  </si>
  <si>
    <t>III</t>
  </si>
  <si>
    <t>9/2023</t>
  </si>
  <si>
    <t>Đối với hợp đồng thực hiện công việc chuyên môn,nghiệp vụ trong đơn vị sự nghiệp công lập theo Nghị định số 111/2022/NĐ-CP</t>
  </si>
  <si>
    <t>5%</t>
  </si>
  <si>
    <t>Giảm tiền lương đối với lao động hợp đồng truy thu phụ cấp khu vực từ tháng 04 đến 05 năm 2023, 02 người:    2.980.000 đồng</t>
  </si>
  <si>
    <t xml:space="preserve">                                                         Bù Đăng, ngày     tháng      năm 2024</t>
  </si>
  <si>
    <t>trach nhiem</t>
  </si>
  <si>
    <t xml:space="preserve">Luu dộng </t>
  </si>
  <si>
    <t xml:space="preserve">TC </t>
  </si>
  <si>
    <t>nguon 13</t>
  </si>
  <si>
    <t>hđ</t>
  </si>
  <si>
    <t>kvhđ</t>
  </si>
  <si>
    <t xml:space="preserve">Tong cộng </t>
  </si>
  <si>
    <t xml:space="preserve">           Nguyên nhân: </t>
  </si>
  <si>
    <t xml:space="preserve">Truy lĩnh </t>
  </si>
  <si>
    <t>24/04/2024</t>
  </si>
  <si>
    <t>tl 1800</t>
  </si>
  <si>
    <t>tc</t>
  </si>
  <si>
    <t>Số tài khoản đơn vị:  5606201000498 - Tại Ngân hàng Nông Nghiệp Phát Triển Nông Thôn Việt Nam - chi nhánh Huyện Bù Đăng Bình Phước</t>
  </si>
  <si>
    <t>01/12/2022</t>
  </si>
  <si>
    <t>01/9/2021</t>
  </si>
  <si>
    <t>01/7/2022</t>
  </si>
  <si>
    <t>01/09/2023</t>
  </si>
  <si>
    <t>1/6/2022</t>
  </si>
  <si>
    <t>1/8/2023</t>
  </si>
  <si>
    <t>01/11/2021</t>
  </si>
  <si>
    <t>1/05/2023</t>
  </si>
  <si>
    <t>01/4/2021</t>
  </si>
  <si>
    <t>01/4/2022</t>
  </si>
  <si>
    <t>01/3/2021</t>
  </si>
  <si>
    <t>1/6/2023</t>
  </si>
  <si>
    <t>01/06/2023</t>
  </si>
  <si>
    <t>1/3/2023</t>
  </si>
  <si>
    <t>1/1/2023</t>
  </si>
  <si>
    <t>01/12/2023</t>
  </si>
  <si>
    <t>5/4/2023</t>
  </si>
  <si>
    <t>1/9/2022</t>
  </si>
  <si>
    <t>1/5/2023</t>
  </si>
  <si>
    <t>1/1/2024</t>
  </si>
  <si>
    <t>1/05/2024</t>
  </si>
  <si>
    <t>01/11/2023</t>
  </si>
  <si>
    <t>10/02/2023</t>
  </si>
  <si>
    <t>10/08/2023</t>
  </si>
  <si>
    <t>V.07.03.29</t>
  </si>
  <si>
    <t>V.07.03.28</t>
  </si>
  <si>
    <t>01/02/2024</t>
  </si>
  <si>
    <t>1/2/2024</t>
  </si>
  <si>
    <t xml:space="preserve">Trương Văn Mỹ </t>
  </si>
  <si>
    <t>6%</t>
  </si>
  <si>
    <t>3/2024</t>
  </si>
  <si>
    <t>Đặng Thị Thảo</t>
  </si>
  <si>
    <t>Nguyễn Xuân Kha</t>
  </si>
  <si>
    <t>Trần Thị Xuân Tuyền</t>
  </si>
  <si>
    <t>Điểu DRú</t>
  </si>
  <si>
    <t>Hồ Thị Quế</t>
  </si>
  <si>
    <t>Đoàn Thị Hoa</t>
  </si>
  <si>
    <t>5606215007924</t>
  </si>
  <si>
    <t>THAY NGOC</t>
  </si>
  <si>
    <t xml:space="preserve">TLINH </t>
  </si>
  <si>
    <t>TN</t>
  </si>
  <si>
    <t>THAY NGỌC</t>
  </si>
  <si>
    <t>2/2023</t>
  </si>
  <si>
    <t>8/2023</t>
  </si>
  <si>
    <t>BẢNG THANH TOÁN TIỀN LƯƠNG VÀ CÁC KHOẢN PHỤ CẤP THEO LƯƠNG, CÁC KHOẢN TRÍCH NỘP THEO LƯƠNG
Tháng 08 năm 2024</t>
  </si>
  <si>
    <t>Tổng số</t>
  </si>
  <si>
    <t>BẢNG THANH TOÁN TIỀN LƯƠNG VÀ CÁC KHOẢN PHỤ CẤP THEO LƯƠNG, CÁC KHOẢN TRÍCH NỘP THEO LƯƠNG
Tháng 09 năm 2024</t>
  </si>
  <si>
    <t xml:space="preserve">Nguyễn Thị Đào </t>
  </si>
  <si>
    <t>V.07.04.31</t>
  </si>
  <si>
    <t>10/2023</t>
  </si>
  <si>
    <t>50</t>
  </si>
  <si>
    <t>Thọ sơn, ngày  4 tháng  09 năm 2024</t>
  </si>
  <si>
    <t xml:space="preserve">Nghỉ hậu sản tháng thứ ba </t>
  </si>
  <si>
    <t>Tổng số tiền bằng chữ: Bảy trăm chín mươi chín triệu, bốn trăm năm mươi ngàn, tám trăm ba mươi mốt đồng.</t>
  </si>
  <si>
    <t xml:space="preserve">Nghỉ hậu sản tháng thứ hai </t>
  </si>
  <si>
    <t>Tổng số tiền bằng chữ: Bảy trăm tám mươi ba triệu, không trăm chín mươi sáu ngàn, một trăm tám mươi tám đồng.</t>
  </si>
  <si>
    <t>Thọ sơn, ngày  2 tháng  08 năm 2024</t>
  </si>
  <si>
    <t>Tổng số tiền bằng chữ: Mười lăm triệu không trăm sáu mươi bốn ngàn, chín trăm hai mươi đồng.</t>
  </si>
  <si>
    <t>BẢNG THANH TOÁN TRUY LĨNH TIỀN LƯƠNG VÀ CÁC KHOẢN PHỤ CẤP THEO LƯƠNG, CÁC KHOẢN TRÍCH NỘP THEO LƯƠNG
Tháng 08 năm 2024</t>
  </si>
  <si>
    <t xml:space="preserve">Truy lĩnh dao </t>
  </si>
  <si>
    <t>Truy lĩnh 1800</t>
  </si>
  <si>
    <t>bangr tinh</t>
  </si>
  <si>
    <t xml:space="preserve">BANG LUONG </t>
  </si>
  <si>
    <t xml:space="preserve">BANG TRUY LINH </t>
  </si>
  <si>
    <t xml:space="preserve">TL INH DAO </t>
  </si>
  <si>
    <t xml:space="preserve">Tong coongj </t>
  </si>
  <si>
    <t>BẢNG THANH TOÁN TRUY LĨNH TIỀN LƯƠNG, THÂM NIÊN  VÀ CÁC KHOẢN PHỤ CẤP THEO LƯƠNG, CÁC KHOẢN TRÍCH NỘP THEO LƯƠNG CHUYỂN CHỨC DANH NGHỀ NGHIỆP VÀ SẾP LƯƠNG CHO VIÊN CHỨC TỪ THÁNG 02 ĐẾN THÁNG 06 NĂM 2024 MỨC LCB 1.800.000 ĐỒNG</t>
  </si>
  <si>
    <t>L</t>
  </si>
  <si>
    <t>S
T
T</t>
  </si>
  <si>
    <t>HỆ SỐ, % P.CẤP CŨ</t>
  </si>
  <si>
    <t>HỆ SỐ, %P.CẤP MỚI</t>
  </si>
  <si>
    <t>CHÊNH LỆCH</t>
  </si>
  <si>
    <t>Thời gian truy lĩnh</t>
  </si>
  <si>
    <t>Số tháng</t>
  </si>
  <si>
    <t>Cộng
 hệ số PC ưu đãi</t>
  </si>
  <si>
    <t xml:space="preserve">T.Cộng
 hệ số lương </t>
  </si>
  <si>
    <t>T.Cộng
 HS PC Thâm Niên</t>
  </si>
  <si>
    <t>T.Cộng
 HS PC Thâm Niên VK</t>
  </si>
  <si>
    <t>Cộng
 hệ số tính BH</t>
  </si>
  <si>
    <t>Tiền 
lương truy lĩnh tính BH</t>
  </si>
  <si>
    <t xml:space="preserve">0.5% BH Tai Nạn lao động, bệnh nghề nghiệp </t>
  </si>
  <si>
    <t>Hệ số 
PC ưu đãi (50%)</t>
  </si>
  <si>
    <t>PC thâm niên VK</t>
  </si>
  <si>
    <t>PC thâm niên nghề</t>
  </si>
  <si>
    <t xml:space="preserve"> phụ 
cấp thâm vượt khung</t>
  </si>
  <si>
    <t xml:space="preserve">Vũ Thị Ninh </t>
  </si>
  <si>
    <t>T02-&gt; T3/2024</t>
  </si>
  <si>
    <t>T04-&gt; T6/2024</t>
  </si>
  <si>
    <t>Tổng số tiền bằng chữ: (Bốn trăm ba mươi tám ngàn năm trăm mười hai đồng)</t>
  </si>
  <si>
    <t>Thọ sơn, ngày 04 tháng 09 năm 2024</t>
  </si>
  <si>
    <t xml:space="preserve">Người lập </t>
  </si>
  <si>
    <t xml:space="preserve">Kế toán trưởng </t>
  </si>
  <si>
    <t xml:space="preserve">Hiệu Trưởng </t>
  </si>
  <si>
    <t>BẢNG THANH TOÁN TRUY LĨNH TIỀN LƯƠNG, THÂM NIÊN  VÀ CÁC KHOẢN PHỤ CẤP THEO LƯƠNG, CÁC KHOẢN TRÍCH NỘP THEO LƯƠNG CHUYỂN CHỨC DANH NGHỀ NGHIỆP VÀ SẾP LƯƠNG CHO VIÊN CHỨC TỪ THÁNG 02 ĐẾN THÁNG 06 NĂM 2024 MỨC LCB 1.800.000 ĐỒNG (CHUYỂN ĐƠN VỊ KHÁC)</t>
  </si>
  <si>
    <t>Đặng Quang Ngọc</t>
  </si>
  <si>
    <t>T02-&gt; T2/2024</t>
  </si>
  <si>
    <t>T03-&gt; T6/2024</t>
  </si>
  <si>
    <t>Tổng số tiền bằng chữ: (Hai trăm tám mươi sáu ngàn hai trăm hai mươi đồng)</t>
  </si>
  <si>
    <t>Thọ sơn, ngày 11 tháng 07 năm 2024</t>
  </si>
  <si>
    <t>BẢNG THANH TOÁN TRUY LĨNH TIỀN LƯƠNG, THÂM NIÊN  VÀ CÁC KHOẢN PHỤ CẤP THEO LƯƠNG, CÁC KHOẢN TRÍCH NỘP THEO LƯƠNG CHUYỂN CHỨC DANH NGHỀ NGHIỆP VÀ SẾP LƯƠNG CHO VIÊN CHỨC TỪ THÁNG 07 ĐẾN THÁNG 08 NĂM 2024 MỨC LCB 2.340.000 ĐỒNG</t>
  </si>
  <si>
    <t>T07-&gt;T8/2024</t>
  </si>
  <si>
    <t>T07-&gt;8/2024</t>
  </si>
  <si>
    <t>Tổng số tiền bằng chữ: (Tám trăm ba mươi ngàn, hai trăm bảy mươi sáu đồng)</t>
  </si>
  <si>
    <t>Thọ sơn, ngày 4 tháng 09 năm 2024</t>
  </si>
  <si>
    <t xml:space="preserve">Tăng giáo viên mới chuyển đến 01 người: 15.064.920 đồng </t>
  </si>
  <si>
    <t xml:space="preserve">Tăng truy lĩnh lương chuyển chức danh nghề nghiệp và xếp lương cho giáo viên 02 người : 1.268.788  đồng </t>
  </si>
  <si>
    <t>Tăng truy lĩnh giáo viên mới chuyển đến 01 người: 15.064.920 đồng</t>
  </si>
  <si>
    <t>Tăng thâm niên 09 người: 874.583 đồng</t>
  </si>
  <si>
    <t xml:space="preserve">           Tổng số tiền rút tháng trước :  783.096.188 đồng </t>
  </si>
  <si>
    <t xml:space="preserve">           Tổng số tiền rút tháng này tăng so với tháng trước:  32.688.351 đồng</t>
  </si>
  <si>
    <t xml:space="preserve">Tăng lương chuyển chức danh nghề nghiệp và xếp lương cho giáo viên 02 người : 415.140 đồng </t>
  </si>
  <si>
    <t>Tăng 902.622 đồng</t>
  </si>
  <si>
    <t>Tăng 90.474 đồng</t>
  </si>
  <si>
    <t>Tăng 76.653 đồng</t>
  </si>
  <si>
    <t>Tăng 781.306 đồng</t>
  </si>
  <si>
    <t>Tăng 83.772 đồng</t>
  </si>
  <si>
    <t>Tăng 105.134 đồng</t>
  </si>
  <si>
    <t>Tăng 105.135 đồng</t>
  </si>
  <si>
    <t>Tăng 105.133 đồng</t>
  </si>
  <si>
    <t>Tăng 98.013 đồng</t>
  </si>
  <si>
    <t>Tăng 30.129.840 đồng</t>
  </si>
  <si>
    <t>Thọ Sơn, ngày 04 tháng 09 năm 2024</t>
  </si>
  <si>
    <t>Tổng số tiền bằng chữ:  Tám trăm mười lăm triệu, bảy trăm tám mươi bốn ngàn, năm trăm ba mươi chín đồng.</t>
  </si>
  <si>
    <t>Số:  10</t>
  </si>
  <si>
    <t>( Kèm theo giấy rút dự toán/ ủy nhiệm chi số :  87  ngày 04 tháng 9 năm 2024)</t>
  </si>
  <si>
    <t>5606205475097</t>
  </si>
  <si>
    <t>I. Nội dung đề nghị thanh toán: Lương và phụ cấp theo lương, tiền công lao động theo hợp đồng tháng 09/2024 + Truy lĩnh</t>
  </si>
  <si>
    <t>Kỳ Lương tháng 09/2024</t>
  </si>
  <si>
    <t xml:space="preserve">Lương T9/2024 </t>
  </si>
  <si>
    <t xml:space="preserve">      Thọ sơn, ngày 04 tháng  09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</si>
</sst>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 _₫_-;\-* #,##0.00\ _₫_-;_-* &quot;-&quot;??\ _₫_-;_-@_-"/>
    <numFmt numFmtId="165" formatCode="_-* #,##0_-;\-* #,##0_-;_-* &quot;-&quot;_-;_-@_-"/>
    <numFmt numFmtId="166" formatCode="_-* #,##0.00_-;\-* #,##0.00_-;_-* &quot;-&quot;??_-;_-@_-"/>
    <numFmt numFmtId="167" formatCode="[$$-409]#,##0.00;[Red]&quot;-&quot;[$$-409]#,##0.00"/>
    <numFmt numFmtId="168" formatCode="_-* #,##0_-;\-* #,##0_-;_-* &quot;-&quot;??_-;_-@_-"/>
    <numFmt numFmtId="169" formatCode="#,##0.0"/>
    <numFmt numFmtId="170" formatCode="0.0"/>
    <numFmt numFmtId="171" formatCode="_-* #,##0.0_-;\-* #,##0.0_-;_-* &quot;-&quot;??_-;_-@_-"/>
    <numFmt numFmtId="172" formatCode="_(* #,##0_);_(* \(#,##0\);_(* &quot;-&quot;??_);_(@_)"/>
    <numFmt numFmtId="173" formatCode="#,##0_ ;\-#,##0\ "/>
    <numFmt numFmtId="174" formatCode="0.0%"/>
    <numFmt numFmtId="175" formatCode="#,##0.0000"/>
    <numFmt numFmtId="176" formatCode="#,##0.000"/>
    <numFmt numFmtId="177" formatCode="#,##0.00_ ;\-#,##0.00\ "/>
    <numFmt numFmtId="178" formatCode="0.000"/>
    <numFmt numFmtId="179" formatCode="0.00000"/>
    <numFmt numFmtId="180" formatCode="0.0000"/>
  </numFmts>
  <fonts count="70" x14ac:knownFonts="1">
    <font>
      <sz val="12"/>
      <color theme="1"/>
      <name val="Arial"/>
      <family val="2"/>
    </font>
    <font>
      <sz val="10"/>
      <name val="Times New Roman"/>
      <family val="1"/>
      <charset val="163"/>
    </font>
    <font>
      <b/>
      <sz val="10"/>
      <name val="Times New Roman"/>
      <family val="1"/>
      <charset val="163"/>
    </font>
    <font>
      <sz val="9"/>
      <name val="Times New Roman"/>
      <family val="1"/>
      <charset val="163"/>
    </font>
    <font>
      <b/>
      <sz val="9"/>
      <name val="Times New Roman"/>
      <family val="1"/>
      <charset val="163"/>
    </font>
    <font>
      <b/>
      <sz val="14"/>
      <name val="Times New Roman"/>
      <family val="1"/>
      <charset val="163"/>
    </font>
    <font>
      <sz val="14"/>
      <name val="Times New Roman"/>
      <family val="1"/>
      <charset val="163"/>
    </font>
    <font>
      <sz val="7"/>
      <name val="Times New Roman"/>
      <family val="1"/>
      <charset val="163"/>
    </font>
    <font>
      <b/>
      <sz val="12"/>
      <name val="Times New Roman"/>
      <family val="1"/>
    </font>
    <font>
      <b/>
      <sz val="11"/>
      <name val="Times New Roman"/>
      <family val="1"/>
    </font>
    <font>
      <sz val="12"/>
      <name val="Times New Roman"/>
      <family val="1"/>
    </font>
    <font>
      <sz val="9"/>
      <name val="Times New Roman"/>
      <family val="1"/>
    </font>
    <font>
      <sz val="10"/>
      <name val="Times New Roman"/>
      <family val="1"/>
    </font>
    <font>
      <b/>
      <sz val="14"/>
      <name val="Times New Roman"/>
      <family val="1"/>
    </font>
    <font>
      <sz val="10"/>
      <name val="Arial"/>
      <family val="2"/>
    </font>
    <font>
      <b/>
      <sz val="11"/>
      <name val="Arial"/>
      <family val="2"/>
    </font>
    <font>
      <sz val="11"/>
      <name val="Arial"/>
      <family val="2"/>
    </font>
    <font>
      <sz val="8"/>
      <name val="Times New Roman"/>
      <family val="1"/>
      <charset val="163"/>
    </font>
    <font>
      <sz val="8"/>
      <name val="Arial"/>
      <family val="2"/>
    </font>
    <font>
      <sz val="14"/>
      <name val="Times New Roman"/>
      <family val="1"/>
    </font>
    <font>
      <sz val="12"/>
      <color theme="1"/>
      <name val="Times New Roman"/>
      <family val="2"/>
    </font>
    <font>
      <b/>
      <i/>
      <sz val="16"/>
      <color theme="1"/>
      <name val="Arial"/>
      <family val="2"/>
    </font>
    <font>
      <b/>
      <i/>
      <u/>
      <sz val="12"/>
      <color theme="1"/>
      <name val="Arial"/>
      <family val="2"/>
    </font>
    <font>
      <sz val="12"/>
      <name val="Times New Roman"/>
      <family val="1"/>
      <charset val="163"/>
    </font>
    <font>
      <b/>
      <sz val="11"/>
      <name val="Times New Roman"/>
      <family val="1"/>
      <charset val="163"/>
    </font>
    <font>
      <b/>
      <sz val="12"/>
      <name val="Times New Roman"/>
      <family val="1"/>
      <charset val="163"/>
    </font>
    <font>
      <i/>
      <sz val="12"/>
      <name val="Times New Roman"/>
      <family val="1"/>
      <charset val="163"/>
    </font>
    <font>
      <sz val="12"/>
      <name val="Arial"/>
      <family val="2"/>
    </font>
    <font>
      <i/>
      <sz val="14"/>
      <name val="Times New Roman"/>
      <family val="1"/>
    </font>
    <font>
      <b/>
      <sz val="12"/>
      <name val="Arial"/>
      <family val="2"/>
      <charset val="163"/>
    </font>
    <font>
      <sz val="15"/>
      <color theme="1"/>
      <name val="Times New Roman"/>
      <family val="2"/>
    </font>
    <font>
      <sz val="22"/>
      <name val="Times New Roman"/>
      <family val="1"/>
    </font>
    <font>
      <sz val="11"/>
      <name val="Times New Roman"/>
      <family val="1"/>
      <charset val="163"/>
    </font>
    <font>
      <b/>
      <i/>
      <sz val="12"/>
      <name val="Times New Roman"/>
      <family val="1"/>
      <charset val="163"/>
    </font>
    <font>
      <b/>
      <i/>
      <sz val="11"/>
      <name val="Times New Roman"/>
      <family val="1"/>
      <charset val="163"/>
    </font>
    <font>
      <u/>
      <sz val="14"/>
      <name val="Times New Roman"/>
      <family val="1"/>
    </font>
    <font>
      <sz val="13"/>
      <name val="Times New Roman"/>
      <family val="1"/>
      <charset val="163"/>
    </font>
    <font>
      <sz val="9"/>
      <color rgb="FFFF0000"/>
      <name val="Times New Roman"/>
      <family val="1"/>
      <charset val="163"/>
    </font>
    <font>
      <b/>
      <u/>
      <sz val="14"/>
      <name val="Times New Roman"/>
      <family val="1"/>
      <charset val="163"/>
    </font>
    <font>
      <sz val="10"/>
      <name val="Calibri"/>
      <family val="2"/>
      <scheme val="minor"/>
    </font>
    <font>
      <b/>
      <sz val="8"/>
      <name val="Times New Roman"/>
      <family val="1"/>
      <charset val="163"/>
    </font>
    <font>
      <b/>
      <sz val="16"/>
      <name val="Times New Roman"/>
      <family val="1"/>
    </font>
    <font>
      <b/>
      <sz val="10"/>
      <name val="Times New Roman"/>
      <family val="1"/>
    </font>
    <font>
      <sz val="11"/>
      <name val="Calibri"/>
      <family val="2"/>
      <scheme val="minor"/>
    </font>
    <font>
      <b/>
      <sz val="14"/>
      <name val="Calibri"/>
      <family val="2"/>
      <scheme val="minor"/>
    </font>
    <font>
      <b/>
      <sz val="11"/>
      <name val="Calibri"/>
      <family val="2"/>
      <scheme val="minor"/>
    </font>
    <font>
      <sz val="14"/>
      <name val="Calibri"/>
      <family val="2"/>
      <scheme val="minor"/>
    </font>
    <font>
      <sz val="14"/>
      <name val="VNI-Times"/>
    </font>
    <font>
      <sz val="9"/>
      <name val="VNI-Times"/>
    </font>
    <font>
      <u val="singleAccounting"/>
      <sz val="11"/>
      <name val="Times New Roman"/>
      <family val="1"/>
      <charset val="163"/>
    </font>
    <font>
      <sz val="11"/>
      <name val="Times New Roman"/>
      <family val="1"/>
    </font>
    <font>
      <b/>
      <sz val="11"/>
      <name val="VNI-Times"/>
    </font>
    <font>
      <sz val="9"/>
      <name val="Calibri"/>
      <family val="2"/>
      <scheme val="minor"/>
    </font>
    <font>
      <i/>
      <sz val="14"/>
      <name val="Times New Roman"/>
      <family val="1"/>
      <charset val="163"/>
    </font>
    <font>
      <sz val="14"/>
      <color rgb="FFFF0000"/>
      <name val="Calibri"/>
      <family val="2"/>
      <scheme val="minor"/>
    </font>
    <font>
      <sz val="8"/>
      <name val="Times New Roman"/>
      <family val="1"/>
    </font>
    <font>
      <b/>
      <sz val="8"/>
      <name val="VNI-Times"/>
    </font>
    <font>
      <sz val="14"/>
      <color rgb="FFFF0000"/>
      <name val="VNI-Times"/>
    </font>
    <font>
      <sz val="14"/>
      <color rgb="FFFF0000"/>
      <name val="Times New Roman"/>
      <family val="1"/>
    </font>
    <font>
      <b/>
      <sz val="14"/>
      <color rgb="FFFF0000"/>
      <name val="Calibri"/>
      <family val="2"/>
      <scheme val="minor"/>
    </font>
    <font>
      <b/>
      <u/>
      <sz val="14"/>
      <name val="Times New Roman"/>
      <family val="1"/>
    </font>
    <font>
      <sz val="16"/>
      <name val="Times New Roman"/>
      <family val="1"/>
    </font>
    <font>
      <b/>
      <sz val="9"/>
      <name val="Times New Roman"/>
      <family val="1"/>
    </font>
    <font>
      <b/>
      <sz val="8"/>
      <name val="Times New Roman"/>
      <family val="1"/>
    </font>
    <font>
      <sz val="8"/>
      <name val="VNI-Times"/>
    </font>
    <font>
      <sz val="8"/>
      <name val="Calibri"/>
      <family val="2"/>
      <scheme val="minor"/>
    </font>
    <font>
      <b/>
      <i/>
      <sz val="12"/>
      <name val="Times New Roman"/>
      <family val="1"/>
    </font>
    <font>
      <i/>
      <sz val="10"/>
      <name val="Times New Roman"/>
      <family val="1"/>
    </font>
    <font>
      <i/>
      <sz val="12"/>
      <name val="Times New Roman"/>
      <family val="1"/>
    </font>
    <font>
      <sz val="14"/>
      <color rgb="FFFF0000"/>
      <name val="Times New Roman"/>
      <family val="1"/>
      <charset val="163"/>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5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auto="1"/>
      </left>
      <right style="thin">
        <color indexed="64"/>
      </right>
      <top style="thin">
        <color auto="1"/>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auto="1"/>
      </top>
      <bottom style="thin">
        <color indexed="64"/>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s>
  <cellStyleXfs count="11">
    <xf numFmtId="0" fontId="0" fillId="0" borderId="0"/>
    <xf numFmtId="166" fontId="20" fillId="0" borderId="0" applyFont="0" applyFill="0" applyBorder="0" applyAlignment="0" applyProtection="0"/>
    <xf numFmtId="165" fontId="20" fillId="0" borderId="0" applyFont="0" applyFill="0" applyBorder="0" applyAlignment="0" applyProtection="0"/>
    <xf numFmtId="0" fontId="21" fillId="0" borderId="0">
      <alignment horizontal="center"/>
    </xf>
    <xf numFmtId="0" fontId="21" fillId="0" borderId="0">
      <alignment horizontal="center" textRotation="90"/>
    </xf>
    <xf numFmtId="0" fontId="14" fillId="0" borderId="0"/>
    <xf numFmtId="9" fontId="20" fillId="0" borderId="0" applyFont="0" applyFill="0" applyBorder="0" applyAlignment="0" applyProtection="0"/>
    <xf numFmtId="0" fontId="22" fillId="0" borderId="0"/>
    <xf numFmtId="167" fontId="22" fillId="0" borderId="0"/>
    <xf numFmtId="0" fontId="30" fillId="0" borderId="0"/>
    <xf numFmtId="0" fontId="36" fillId="0" borderId="0"/>
  </cellStyleXfs>
  <cellXfs count="782">
    <xf numFmtId="0" fontId="0" fillId="0" borderId="0" xfId="0"/>
    <xf numFmtId="0" fontId="6" fillId="0" borderId="0" xfId="0" applyFont="1"/>
    <xf numFmtId="0" fontId="3" fillId="0" borderId="0" xfId="0" applyFont="1" applyAlignment="1">
      <alignment horizontal="center"/>
    </xf>
    <xf numFmtId="0" fontId="7" fillId="0" borderId="0" xfId="0" applyFont="1"/>
    <xf numFmtId="0" fontId="1" fillId="0" borderId="0" xfId="0" applyFont="1"/>
    <xf numFmtId="0" fontId="1" fillId="0" borderId="0" xfId="0" applyFont="1" applyAlignment="1">
      <alignment horizontal="center"/>
    </xf>
    <xf numFmtId="3" fontId="3" fillId="0" borderId="2" xfId="0" applyNumberFormat="1" applyFont="1" applyBorder="1"/>
    <xf numFmtId="0" fontId="11" fillId="0" borderId="2" xfId="0" applyFont="1" applyBorder="1"/>
    <xf numFmtId="3" fontId="6" fillId="0" borderId="0" xfId="0" applyNumberFormat="1" applyFont="1"/>
    <xf numFmtId="0" fontId="3" fillId="0" borderId="6" xfId="0" applyFont="1" applyBorder="1" applyAlignment="1">
      <alignment horizontal="center"/>
    </xf>
    <xf numFmtId="165" fontId="15" fillId="0" borderId="2" xfId="2" applyFont="1" applyBorder="1" applyAlignment="1">
      <alignment horizontal="center"/>
    </xf>
    <xf numFmtId="0" fontId="15" fillId="0" borderId="2" xfId="0" applyFont="1" applyBorder="1" applyAlignment="1">
      <alignment horizontal="center"/>
    </xf>
    <xf numFmtId="0" fontId="16" fillId="0" borderId="2" xfId="0" applyFont="1" applyBorder="1"/>
    <xf numFmtId="0" fontId="15" fillId="0" borderId="2" xfId="0" applyFont="1" applyBorder="1"/>
    <xf numFmtId="3" fontId="15" fillId="0" borderId="2" xfId="0" applyNumberFormat="1" applyFont="1" applyBorder="1"/>
    <xf numFmtId="3" fontId="19" fillId="0" borderId="0" xfId="0" applyNumberFormat="1" applyFont="1"/>
    <xf numFmtId="0" fontId="19" fillId="0" borderId="0" xfId="0" applyFont="1"/>
    <xf numFmtId="0" fontId="3" fillId="2" borderId="2" xfId="0" applyFont="1" applyFill="1" applyBorder="1"/>
    <xf numFmtId="0" fontId="3" fillId="2" borderId="2" xfId="0" applyFont="1" applyFill="1" applyBorder="1" applyAlignment="1">
      <alignment wrapText="1"/>
    </xf>
    <xf numFmtId="0" fontId="6" fillId="0" borderId="0" xfId="0" applyFont="1" applyAlignment="1">
      <alignment horizontal="center"/>
    </xf>
    <xf numFmtId="0" fontId="27" fillId="0" borderId="0" xfId="0" applyFont="1"/>
    <xf numFmtId="0" fontId="16" fillId="0" borderId="0" xfId="0" applyFont="1"/>
    <xf numFmtId="0" fontId="9" fillId="0" borderId="0" xfId="0" applyFont="1"/>
    <xf numFmtId="0" fontId="11" fillId="0" borderId="2" xfId="0" applyFont="1" applyBorder="1" applyAlignment="1">
      <alignment horizontal="left" wrapText="1"/>
    </xf>
    <xf numFmtId="3" fontId="19" fillId="0" borderId="0" xfId="0" applyNumberFormat="1" applyFont="1" applyAlignment="1">
      <alignment horizontal="center"/>
    </xf>
    <xf numFmtId="0" fontId="10" fillId="0" borderId="0" xfId="0" applyFont="1"/>
    <xf numFmtId="1" fontId="1" fillId="0" borderId="2" xfId="0" quotePrefix="1" applyNumberFormat="1" applyFont="1" applyBorder="1" applyAlignment="1">
      <alignment horizontal="right" wrapText="1"/>
    </xf>
    <xf numFmtId="1" fontId="1" fillId="0" borderId="2" xfId="0" quotePrefix="1" applyNumberFormat="1" applyFont="1" applyBorder="1" applyAlignment="1">
      <alignment horizontal="right"/>
    </xf>
    <xf numFmtId="1" fontId="1" fillId="2" borderId="2" xfId="1" applyNumberFormat="1" applyFont="1" applyFill="1" applyBorder="1" applyAlignment="1">
      <alignment horizontal="right" wrapText="1"/>
    </xf>
    <xf numFmtId="1" fontId="1" fillId="2" borderId="2" xfId="0" quotePrefix="1" applyNumberFormat="1" applyFont="1" applyFill="1" applyBorder="1" applyAlignment="1">
      <alignment horizontal="right"/>
    </xf>
    <xf numFmtId="1" fontId="1" fillId="2" borderId="2" xfId="0" applyNumberFormat="1" applyFont="1" applyFill="1" applyBorder="1" applyAlignment="1">
      <alignment horizontal="right" wrapText="1"/>
    </xf>
    <xf numFmtId="1" fontId="1" fillId="2" borderId="2" xfId="1" quotePrefix="1" applyNumberFormat="1" applyFont="1" applyFill="1" applyBorder="1" applyAlignment="1">
      <alignment horizontal="right" wrapText="1"/>
    </xf>
    <xf numFmtId="164" fontId="12" fillId="0" borderId="2" xfId="1" quotePrefix="1" applyNumberFormat="1" applyFont="1" applyFill="1" applyBorder="1" applyAlignment="1">
      <alignment horizontal="right" wrapText="1"/>
    </xf>
    <xf numFmtId="0" fontId="8" fillId="0" borderId="0" xfId="0" applyFont="1"/>
    <xf numFmtId="0" fontId="19" fillId="0" borderId="0" xfId="0" applyFont="1" applyAlignment="1">
      <alignment horizontal="center"/>
    </xf>
    <xf numFmtId="0" fontId="10" fillId="0" borderId="0" xfId="0" applyFont="1" applyAlignment="1">
      <alignment horizontal="center"/>
    </xf>
    <xf numFmtId="0" fontId="9" fillId="0" borderId="2" xfId="0" applyFont="1" applyBorder="1" applyAlignment="1">
      <alignment horizontal="center" vertical="center" wrapText="1"/>
    </xf>
    <xf numFmtId="0" fontId="1" fillId="2" borderId="2" xfId="0" applyFont="1" applyFill="1" applyBorder="1"/>
    <xf numFmtId="0" fontId="3" fillId="2" borderId="22" xfId="0" quotePrefix="1" applyFont="1" applyFill="1" applyBorder="1" applyAlignment="1">
      <alignment horizontal="right"/>
    </xf>
    <xf numFmtId="0" fontId="16" fillId="0" borderId="22" xfId="0" applyFont="1" applyBorder="1"/>
    <xf numFmtId="0" fontId="35" fillId="0" borderId="0" xfId="0" applyFont="1"/>
    <xf numFmtId="0" fontId="6" fillId="0" borderId="0" xfId="0" applyFont="1" applyAlignment="1">
      <alignment horizontal="center"/>
    </xf>
    <xf numFmtId="0" fontId="3" fillId="0" borderId="26" xfId="0" applyFont="1" applyBorder="1"/>
    <xf numFmtId="0" fontId="3" fillId="2" borderId="26" xfId="0" quotePrefix="1" applyFont="1" applyFill="1" applyBorder="1" applyAlignment="1">
      <alignment horizontal="right"/>
    </xf>
    <xf numFmtId="0" fontId="16" fillId="0" borderId="26" xfId="0" applyFont="1" applyBorder="1"/>
    <xf numFmtId="0" fontId="3" fillId="2" borderId="26" xfId="0" applyFont="1" applyFill="1" applyBorder="1"/>
    <xf numFmtId="1" fontId="1" fillId="2" borderId="26" xfId="0" applyNumberFormat="1" applyFont="1" applyFill="1" applyBorder="1" applyAlignment="1">
      <alignment horizontal="right" wrapText="1"/>
    </xf>
    <xf numFmtId="1" fontId="1" fillId="2" borderId="3" xfId="1" quotePrefix="1" applyNumberFormat="1" applyFont="1" applyFill="1" applyBorder="1" applyAlignment="1">
      <alignment horizontal="right" wrapText="1"/>
    </xf>
    <xf numFmtId="0" fontId="1" fillId="0" borderId="26" xfId="0" quotePrefix="1" applyFont="1" applyBorder="1" applyAlignment="1">
      <alignment horizontal="right" wrapText="1"/>
    </xf>
    <xf numFmtId="0" fontId="6" fillId="0" borderId="0" xfId="0" applyFont="1" applyFill="1"/>
    <xf numFmtId="0" fontId="3" fillId="0" borderId="0" xfId="0" applyFont="1" applyFill="1" applyAlignment="1">
      <alignment horizontal="center"/>
    </xf>
    <xf numFmtId="3" fontId="3" fillId="0" borderId="0" xfId="0" applyNumberFormat="1" applyFont="1" applyFill="1" applyBorder="1" applyAlignment="1">
      <alignment horizontal="center"/>
    </xf>
    <xf numFmtId="17" fontId="17" fillId="0" borderId="0" xfId="0" quotePrefix="1" applyNumberFormat="1" applyFont="1" applyFill="1" applyBorder="1" applyAlignment="1">
      <alignment horizontal="center"/>
    </xf>
    <xf numFmtId="0" fontId="17" fillId="0" borderId="0" xfId="0" quotePrefix="1" applyFont="1" applyFill="1" applyBorder="1" applyAlignment="1">
      <alignment horizontal="center"/>
    </xf>
    <xf numFmtId="4" fontId="3" fillId="0" borderId="0" xfId="0" applyNumberFormat="1" applyFont="1" applyFill="1" applyBorder="1"/>
    <xf numFmtId="170" fontId="3" fillId="0" borderId="0" xfId="0" applyNumberFormat="1" applyFont="1" applyFill="1" applyBorder="1"/>
    <xf numFmtId="1" fontId="3" fillId="0" borderId="0" xfId="0" applyNumberFormat="1" applyFont="1" applyFill="1" applyBorder="1" applyAlignment="1">
      <alignment horizontal="center"/>
    </xf>
    <xf numFmtId="0" fontId="1" fillId="0" borderId="0" xfId="0" applyFont="1" applyFill="1" applyBorder="1"/>
    <xf numFmtId="0" fontId="1" fillId="0" borderId="0" xfId="0" applyFont="1" applyFill="1"/>
    <xf numFmtId="3" fontId="17" fillId="0" borderId="0" xfId="0" quotePrefix="1" applyNumberFormat="1" applyFont="1" applyFill="1" applyBorder="1" applyAlignment="1">
      <alignment horizontal="center"/>
    </xf>
    <xf numFmtId="4" fontId="3" fillId="0" borderId="0" xfId="0" applyNumberFormat="1" applyFont="1" applyFill="1" applyBorder="1" applyAlignment="1"/>
    <xf numFmtId="170" fontId="3" fillId="0" borderId="0" xfId="0" applyNumberFormat="1" applyFont="1" applyFill="1" applyBorder="1" applyAlignment="1"/>
    <xf numFmtId="1" fontId="3" fillId="0" borderId="0" xfId="0" quotePrefix="1" applyNumberFormat="1" applyFont="1" applyFill="1" applyBorder="1" applyAlignment="1">
      <alignment horizontal="center"/>
    </xf>
    <xf numFmtId="0" fontId="7" fillId="0" borderId="0" xfId="0" applyFont="1" applyFill="1" applyAlignment="1">
      <alignment horizontal="center"/>
    </xf>
    <xf numFmtId="0" fontId="17" fillId="0" borderId="0" xfId="0" applyFont="1" applyFill="1" applyAlignment="1">
      <alignment horizontal="center"/>
    </xf>
    <xf numFmtId="4" fontId="6" fillId="0" borderId="0" xfId="0" applyNumberFormat="1" applyFont="1" applyFill="1"/>
    <xf numFmtId="4" fontId="3" fillId="0" borderId="0" xfId="0" applyNumberFormat="1" applyFont="1" applyFill="1" applyBorder="1" applyAlignment="1">
      <alignment horizontal="right"/>
    </xf>
    <xf numFmtId="9" fontId="12" fillId="0" borderId="0" xfId="0" applyNumberFormat="1" applyFont="1" applyFill="1" applyBorder="1" applyAlignment="1">
      <alignment horizontal="center"/>
    </xf>
    <xf numFmtId="175" fontId="39" fillId="0" borderId="0" xfId="0" applyNumberFormat="1" applyFont="1" applyFill="1" applyBorder="1" applyAlignment="1"/>
    <xf numFmtId="49" fontId="3" fillId="0" borderId="0" xfId="6" applyNumberFormat="1" applyFont="1" applyFill="1" applyBorder="1" applyAlignment="1">
      <alignment horizontal="center"/>
    </xf>
    <xf numFmtId="0" fontId="4" fillId="0" borderId="20"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2" fillId="0" borderId="0" xfId="0" applyFont="1" applyFill="1"/>
    <xf numFmtId="0"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0" xfId="0" applyFont="1" applyFill="1" applyBorder="1" applyAlignment="1">
      <alignment horizontal="center" vertical="center"/>
    </xf>
    <xf numFmtId="0" fontId="43" fillId="0" borderId="0" xfId="0" applyFont="1" applyFill="1"/>
    <xf numFmtId="173" fontId="44" fillId="0" borderId="0" xfId="0" applyNumberFormat="1" applyFont="1" applyFill="1"/>
    <xf numFmtId="173" fontId="43" fillId="0" borderId="0" xfId="0" applyNumberFormat="1" applyFont="1" applyFill="1"/>
    <xf numFmtId="0" fontId="3" fillId="0" borderId="2" xfId="0" applyFont="1" applyFill="1" applyBorder="1" applyAlignment="1">
      <alignment horizontal="center" vertical="center"/>
    </xf>
    <xf numFmtId="0" fontId="17" fillId="0" borderId="2" xfId="0" applyFont="1" applyFill="1" applyBorder="1" applyAlignment="1">
      <alignment horizontal="center" vertical="center"/>
    </xf>
    <xf numFmtId="3" fontId="3" fillId="0" borderId="2" xfId="0" applyNumberFormat="1" applyFont="1" applyFill="1" applyBorder="1" applyAlignment="1">
      <alignment horizontal="center" vertical="center"/>
    </xf>
    <xf numFmtId="0" fontId="1" fillId="0" borderId="0" xfId="0" applyFont="1" applyFill="1" applyAlignment="1">
      <alignment horizontal="right"/>
    </xf>
    <xf numFmtId="0" fontId="45" fillId="0" borderId="9" xfId="0" applyFont="1" applyFill="1" applyBorder="1" applyAlignment="1">
      <alignment horizontal="center"/>
    </xf>
    <xf numFmtId="0" fontId="45" fillId="0" borderId="10" xfId="0" applyFont="1" applyFill="1" applyBorder="1" applyAlignment="1">
      <alignment horizontal="center"/>
    </xf>
    <xf numFmtId="0" fontId="42" fillId="0" borderId="0" xfId="0" applyFont="1" applyFill="1" applyBorder="1" applyAlignment="1">
      <alignment horizontal="center"/>
    </xf>
    <xf numFmtId="0" fontId="43" fillId="0" borderId="0" xfId="0" applyFont="1" applyFill="1" applyBorder="1"/>
    <xf numFmtId="0" fontId="4" fillId="0" borderId="4" xfId="0" applyFont="1" applyFill="1" applyBorder="1" applyAlignment="1"/>
    <xf numFmtId="0" fontId="4" fillId="0" borderId="7" xfId="0" applyFont="1" applyFill="1" applyBorder="1" applyAlignment="1">
      <alignment horizontal="center"/>
    </xf>
    <xf numFmtId="0" fontId="40" fillId="0" borderId="2" xfId="0" applyFont="1" applyFill="1" applyBorder="1" applyAlignment="1">
      <alignment horizontal="center"/>
    </xf>
    <xf numFmtId="4" fontId="40" fillId="0" borderId="2" xfId="0" applyNumberFormat="1" applyFont="1" applyFill="1" applyBorder="1" applyAlignment="1">
      <alignment horizontal="center"/>
    </xf>
    <xf numFmtId="4" fontId="4" fillId="0" borderId="2" xfId="0" applyNumberFormat="1" applyFont="1" applyFill="1" applyBorder="1" applyAlignment="1">
      <alignment vertical="center"/>
    </xf>
    <xf numFmtId="175" fontId="4" fillId="0" borderId="2" xfId="0" applyNumberFormat="1" applyFont="1" applyFill="1" applyBorder="1" applyAlignment="1">
      <alignment vertical="center"/>
    </xf>
    <xf numFmtId="3" fontId="4" fillId="0" borderId="2" xfId="0" applyNumberFormat="1" applyFont="1" applyFill="1" applyBorder="1" applyAlignment="1">
      <alignment vertical="center"/>
    </xf>
    <xf numFmtId="172" fontId="6" fillId="0" borderId="0" xfId="0" applyNumberFormat="1" applyFont="1" applyFill="1" applyAlignment="1">
      <alignment horizontal="right"/>
    </xf>
    <xf numFmtId="0" fontId="6" fillId="0" borderId="9" xfId="0" applyFont="1" applyFill="1" applyBorder="1"/>
    <xf numFmtId="173" fontId="19" fillId="0" borderId="9" xfId="1" applyNumberFormat="1" applyFont="1" applyFill="1" applyBorder="1"/>
    <xf numFmtId="172" fontId="46" fillId="0" borderId="0" xfId="0" applyNumberFormat="1" applyFont="1" applyFill="1"/>
    <xf numFmtId="0" fontId="19" fillId="0" borderId="9" xfId="0" quotePrefix="1" applyFont="1" applyFill="1" applyBorder="1" applyAlignment="1">
      <alignment horizontal="center" vertical="center" wrapText="1"/>
    </xf>
    <xf numFmtId="0" fontId="46" fillId="0" borderId="9" xfId="0" applyFont="1" applyFill="1" applyBorder="1"/>
    <xf numFmtId="3" fontId="46" fillId="0" borderId="0" xfId="0" applyNumberFormat="1" applyFont="1" applyFill="1" applyBorder="1"/>
    <xf numFmtId="173" fontId="19" fillId="0" borderId="0" xfId="1" applyNumberFormat="1" applyFont="1" applyFill="1" applyBorder="1"/>
    <xf numFmtId="3" fontId="19" fillId="0" borderId="0" xfId="1" applyNumberFormat="1" applyFont="1" applyFill="1" applyBorder="1"/>
    <xf numFmtId="173" fontId="46" fillId="0" borderId="0" xfId="0" applyNumberFormat="1" applyFont="1" applyFill="1"/>
    <xf numFmtId="0" fontId="46" fillId="0" borderId="0" xfId="0" applyFont="1" applyFill="1"/>
    <xf numFmtId="172" fontId="6" fillId="0" borderId="0" xfId="0" applyNumberFormat="1" applyFont="1" applyFill="1"/>
    <xf numFmtId="0" fontId="3" fillId="0" borderId="2" xfId="0" quotePrefix="1" applyFont="1" applyFill="1" applyBorder="1" applyAlignment="1">
      <alignment horizontal="center"/>
    </xf>
    <xf numFmtId="0" fontId="3" fillId="0" borderId="2" xfId="0" applyFont="1" applyFill="1" applyBorder="1"/>
    <xf numFmtId="3" fontId="3" fillId="0" borderId="2" xfId="0" applyNumberFormat="1" applyFont="1" applyFill="1" applyBorder="1" applyAlignment="1">
      <alignment horizontal="center"/>
    </xf>
    <xf numFmtId="17" fontId="17" fillId="0" borderId="2" xfId="0" quotePrefix="1" applyNumberFormat="1" applyFont="1" applyFill="1" applyBorder="1" applyAlignment="1">
      <alignment horizontal="center"/>
    </xf>
    <xf numFmtId="0" fontId="17" fillId="0" borderId="2" xfId="0" quotePrefix="1" applyFont="1" applyFill="1" applyBorder="1" applyAlignment="1">
      <alignment horizontal="center"/>
    </xf>
    <xf numFmtId="4" fontId="3" fillId="0" borderId="2" xfId="0" applyNumberFormat="1" applyFont="1" applyFill="1" applyBorder="1"/>
    <xf numFmtId="170" fontId="3" fillId="0" borderId="2" xfId="0" applyNumberFormat="1" applyFont="1" applyFill="1" applyBorder="1"/>
    <xf numFmtId="175" fontId="3" fillId="0" borderId="2" xfId="0" applyNumberFormat="1" applyFont="1" applyFill="1" applyBorder="1" applyAlignment="1">
      <alignment horizontal="right"/>
    </xf>
    <xf numFmtId="3" fontId="3" fillId="0" borderId="2" xfId="0" applyNumberFormat="1" applyFont="1" applyFill="1" applyBorder="1"/>
    <xf numFmtId="9" fontId="3" fillId="0" borderId="2" xfId="0" applyNumberFormat="1" applyFont="1" applyFill="1" applyBorder="1" applyAlignment="1"/>
    <xf numFmtId="0" fontId="3" fillId="0" borderId="2" xfId="0" applyFont="1" applyFill="1" applyBorder="1" applyAlignment="1">
      <alignment horizontal="center"/>
    </xf>
    <xf numFmtId="169" fontId="3" fillId="0" borderId="2" xfId="0" applyNumberFormat="1" applyFont="1" applyFill="1" applyBorder="1"/>
    <xf numFmtId="3" fontId="3" fillId="0" borderId="2" xfId="0" applyNumberFormat="1" applyFont="1" applyFill="1" applyBorder="1" applyAlignment="1">
      <alignment horizontal="right"/>
    </xf>
    <xf numFmtId="3" fontId="3" fillId="0" borderId="0" xfId="0" applyNumberFormat="1" applyFont="1" applyFill="1" applyBorder="1"/>
    <xf numFmtId="3" fontId="6" fillId="0" borderId="0" xfId="0" applyNumberFormat="1" applyFont="1" applyFill="1"/>
    <xf numFmtId="3" fontId="17" fillId="0" borderId="2" xfId="0" quotePrefix="1" applyNumberFormat="1" applyFont="1" applyFill="1" applyBorder="1" applyAlignment="1">
      <alignment horizontal="center"/>
    </xf>
    <xf numFmtId="4" fontId="3" fillId="0" borderId="2" xfId="0" applyNumberFormat="1" applyFont="1" applyFill="1" applyBorder="1" applyAlignment="1"/>
    <xf numFmtId="170" fontId="3" fillId="0" borderId="2" xfId="0" applyNumberFormat="1" applyFont="1" applyFill="1" applyBorder="1" applyAlignment="1"/>
    <xf numFmtId="1" fontId="3" fillId="0" borderId="2" xfId="0" quotePrefix="1" applyNumberFormat="1" applyFont="1" applyFill="1" applyBorder="1" applyAlignment="1">
      <alignment horizontal="center"/>
    </xf>
    <xf numFmtId="0" fontId="6" fillId="0" borderId="0" xfId="0" applyFont="1" applyFill="1" applyAlignment="1">
      <alignment horizontal="right"/>
    </xf>
    <xf numFmtId="172" fontId="19" fillId="0" borderId="9" xfId="1" applyNumberFormat="1" applyFont="1" applyFill="1" applyBorder="1" applyAlignment="1">
      <alignment horizontal="center"/>
    </xf>
    <xf numFmtId="3" fontId="19" fillId="0" borderId="0" xfId="1" applyNumberFormat="1" applyFont="1" applyFill="1" applyBorder="1" applyAlignment="1">
      <alignment horizontal="center"/>
    </xf>
    <xf numFmtId="1" fontId="3" fillId="0" borderId="2" xfId="0" applyNumberFormat="1" applyFont="1" applyFill="1" applyBorder="1" applyAlignment="1">
      <alignment horizontal="center"/>
    </xf>
    <xf numFmtId="173" fontId="19" fillId="0" borderId="9" xfId="0" applyNumberFormat="1" applyFont="1" applyFill="1" applyBorder="1"/>
    <xf numFmtId="0" fontId="19" fillId="0" borderId="9" xfId="0" applyFont="1" applyFill="1" applyBorder="1" applyAlignment="1">
      <alignment horizontal="center" vertical="center" wrapText="1"/>
    </xf>
    <xf numFmtId="3" fontId="19" fillId="0" borderId="0" xfId="0" applyNumberFormat="1" applyFont="1" applyFill="1" applyBorder="1"/>
    <xf numFmtId="173" fontId="6" fillId="0" borderId="0" xfId="0" applyNumberFormat="1" applyFont="1" applyFill="1"/>
    <xf numFmtId="4" fontId="3" fillId="0" borderId="26" xfId="0" applyNumberFormat="1" applyFont="1" applyFill="1" applyBorder="1"/>
    <xf numFmtId="3" fontId="3" fillId="0" borderId="26" xfId="0" applyNumberFormat="1" applyFont="1" applyFill="1" applyBorder="1" applyAlignment="1">
      <alignment horizontal="center"/>
    </xf>
    <xf numFmtId="175" fontId="3" fillId="0" borderId="2" xfId="0" applyNumberFormat="1" applyFont="1" applyFill="1" applyBorder="1" applyAlignment="1">
      <alignment horizontal="center"/>
    </xf>
    <xf numFmtId="0" fontId="46" fillId="0" borderId="0" xfId="0" applyFont="1" applyFill="1" applyBorder="1"/>
    <xf numFmtId="0" fontId="44" fillId="0" borderId="0" xfId="0" applyFont="1" applyFill="1"/>
    <xf numFmtId="0" fontId="46" fillId="0" borderId="9" xfId="0" quotePrefix="1" applyFont="1" applyFill="1" applyBorder="1" applyAlignment="1">
      <alignment horizontal="right" vertical="center" wrapText="1"/>
    </xf>
    <xf numFmtId="173" fontId="47" fillId="0" borderId="9" xfId="1" applyNumberFormat="1" applyFont="1" applyFill="1" applyBorder="1" applyAlignment="1">
      <alignment vertical="center"/>
    </xf>
    <xf numFmtId="3" fontId="46" fillId="0" borderId="9" xfId="0" applyNumberFormat="1" applyFont="1" applyFill="1" applyBorder="1" applyAlignment="1"/>
    <xf numFmtId="3" fontId="46" fillId="0" borderId="0" xfId="0" applyNumberFormat="1" applyFont="1" applyFill="1"/>
    <xf numFmtId="0" fontId="3" fillId="0" borderId="0" xfId="0" applyFont="1" applyFill="1"/>
    <xf numFmtId="173" fontId="46" fillId="0" borderId="0" xfId="0" applyNumberFormat="1" applyFont="1" applyFill="1" applyAlignment="1">
      <alignment horizontal="right"/>
    </xf>
    <xf numFmtId="173" fontId="44" fillId="0" borderId="0" xfId="0" applyNumberFormat="1" applyFont="1" applyFill="1" applyAlignment="1"/>
    <xf numFmtId="173" fontId="47" fillId="0" borderId="0" xfId="1" applyNumberFormat="1" applyFont="1" applyFill="1" applyBorder="1" applyAlignment="1">
      <alignment vertical="center"/>
    </xf>
    <xf numFmtId="9" fontId="6" fillId="0" borderId="0" xfId="0" applyNumberFormat="1" applyFont="1" applyFill="1" applyAlignment="1">
      <alignment horizontal="right"/>
    </xf>
    <xf numFmtId="3" fontId="46" fillId="0" borderId="9" xfId="0" applyNumberFormat="1" applyFont="1" applyFill="1" applyBorder="1"/>
    <xf numFmtId="172" fontId="47" fillId="0" borderId="0" xfId="1" applyNumberFormat="1" applyFont="1" applyFill="1" applyBorder="1" applyAlignment="1">
      <alignment vertical="center" wrapText="1"/>
    </xf>
    <xf numFmtId="3" fontId="46" fillId="0" borderId="0" xfId="1" applyNumberFormat="1" applyFont="1" applyFill="1" applyBorder="1" applyAlignment="1">
      <alignment vertical="center" wrapText="1"/>
    </xf>
    <xf numFmtId="0" fontId="3" fillId="0" borderId="2" xfId="0" applyFont="1" applyFill="1" applyBorder="1" applyAlignment="1"/>
    <xf numFmtId="0" fontId="44" fillId="0" borderId="0" xfId="0" applyFont="1" applyFill="1" applyAlignment="1"/>
    <xf numFmtId="3" fontId="47" fillId="0" borderId="0" xfId="0" applyNumberFormat="1" applyFont="1" applyFill="1" applyBorder="1" applyAlignment="1"/>
    <xf numFmtId="9" fontId="6" fillId="0" borderId="44" xfId="0" applyNumberFormat="1" applyFont="1" applyFill="1" applyBorder="1" applyAlignment="1">
      <alignment horizontal="right"/>
    </xf>
    <xf numFmtId="0" fontId="47" fillId="0" borderId="44" xfId="0" quotePrefix="1" applyFont="1" applyFill="1" applyBorder="1" applyAlignment="1">
      <alignment horizontal="center" vertical="center" wrapText="1"/>
    </xf>
    <xf numFmtId="173" fontId="47" fillId="0" borderId="44" xfId="1" applyNumberFormat="1" applyFont="1" applyFill="1" applyBorder="1" applyAlignment="1">
      <alignment vertical="center"/>
    </xf>
    <xf numFmtId="3" fontId="46" fillId="0" borderId="44" xfId="0" applyNumberFormat="1" applyFont="1" applyFill="1" applyBorder="1"/>
    <xf numFmtId="0" fontId="6" fillId="0" borderId="44" xfId="0" applyFont="1" applyFill="1" applyBorder="1" applyAlignment="1">
      <alignment horizontal="right"/>
    </xf>
    <xf numFmtId="0" fontId="6" fillId="0" borderId="0" xfId="0" applyFont="1" applyFill="1" applyBorder="1" applyAlignment="1">
      <alignment horizontal="right"/>
    </xf>
    <xf numFmtId="0" fontId="47" fillId="0" borderId="0" xfId="0" quotePrefix="1" applyFont="1" applyFill="1" applyBorder="1" applyAlignment="1">
      <alignment horizontal="center" vertical="center" wrapText="1"/>
    </xf>
    <xf numFmtId="3" fontId="46" fillId="0" borderId="0" xfId="0" applyNumberFormat="1" applyFont="1" applyFill="1" applyBorder="1" applyAlignment="1"/>
    <xf numFmtId="0" fontId="46" fillId="0" borderId="0" xfId="0" quotePrefix="1" applyFont="1" applyFill="1" applyBorder="1" applyAlignment="1">
      <alignment horizontal="right" vertical="center" wrapText="1"/>
    </xf>
    <xf numFmtId="173" fontId="46" fillId="0" borderId="0" xfId="0" applyNumberFormat="1" applyFont="1" applyFill="1" applyBorder="1" applyAlignment="1">
      <alignment horizontal="right"/>
    </xf>
    <xf numFmtId="9" fontId="6" fillId="0" borderId="0" xfId="0" applyNumberFormat="1" applyFont="1" applyFill="1" applyBorder="1" applyAlignment="1">
      <alignment horizontal="right"/>
    </xf>
    <xf numFmtId="0" fontId="3" fillId="0" borderId="2" xfId="0" applyFont="1" applyFill="1" applyBorder="1" applyAlignment="1">
      <alignment wrapText="1"/>
    </xf>
    <xf numFmtId="4" fontId="3" fillId="0" borderId="2" xfId="0" applyNumberFormat="1" applyFont="1" applyFill="1" applyBorder="1" applyAlignment="1">
      <alignment horizontal="right"/>
    </xf>
    <xf numFmtId="169" fontId="3" fillId="0" borderId="2" xfId="0" applyNumberFormat="1" applyFont="1" applyFill="1" applyBorder="1" applyAlignment="1"/>
    <xf numFmtId="0" fontId="11" fillId="0" borderId="2" xfId="0" applyFont="1" applyFill="1" applyBorder="1" applyAlignment="1">
      <alignment wrapText="1"/>
    </xf>
    <xf numFmtId="9" fontId="12" fillId="0" borderId="2" xfId="0" applyNumberFormat="1" applyFont="1" applyFill="1" applyBorder="1" applyAlignment="1">
      <alignment horizontal="center"/>
    </xf>
    <xf numFmtId="175" fontId="39" fillId="0" borderId="2" xfId="0" applyNumberFormat="1" applyFont="1" applyFill="1" applyBorder="1" applyAlignment="1"/>
    <xf numFmtId="173" fontId="46" fillId="0" borderId="0" xfId="0" applyNumberFormat="1" applyFont="1" applyFill="1" applyBorder="1"/>
    <xf numFmtId="0" fontId="6" fillId="0" borderId="0" xfId="0" applyFont="1" applyFill="1" applyBorder="1"/>
    <xf numFmtId="0" fontId="6" fillId="0" borderId="0" xfId="0" applyFont="1" applyFill="1" applyAlignment="1"/>
    <xf numFmtId="4" fontId="3" fillId="0" borderId="26" xfId="0" applyNumberFormat="1" applyFont="1" applyFill="1" applyBorder="1" applyAlignment="1">
      <alignment horizontal="right"/>
    </xf>
    <xf numFmtId="3" fontId="3" fillId="0" borderId="26" xfId="0" applyNumberFormat="1" applyFont="1" applyFill="1" applyBorder="1" applyAlignment="1">
      <alignment horizontal="right"/>
    </xf>
    <xf numFmtId="0" fontId="1" fillId="0" borderId="2" xfId="0" applyFont="1" applyFill="1" applyBorder="1"/>
    <xf numFmtId="9" fontId="3" fillId="0" borderId="26" xfId="0" applyNumberFormat="1" applyFont="1" applyFill="1" applyBorder="1" applyAlignment="1"/>
    <xf numFmtId="172" fontId="43" fillId="0" borderId="0" xfId="0" applyNumberFormat="1" applyFont="1" applyFill="1" applyBorder="1"/>
    <xf numFmtId="0" fontId="50" fillId="0" borderId="0" xfId="0" quotePrefix="1" applyFont="1" applyFill="1" applyBorder="1" applyAlignment="1">
      <alignment horizontal="center" vertical="center" wrapText="1"/>
    </xf>
    <xf numFmtId="173" fontId="50" fillId="0" borderId="40" xfId="1" applyNumberFormat="1" applyFont="1" applyFill="1" applyBorder="1"/>
    <xf numFmtId="3" fontId="43" fillId="0" borderId="0" xfId="0" applyNumberFormat="1" applyFont="1" applyFill="1" applyBorder="1"/>
    <xf numFmtId="173" fontId="43" fillId="0" borderId="0" xfId="0" applyNumberFormat="1" applyFont="1" applyFill="1" applyBorder="1"/>
    <xf numFmtId="3" fontId="6" fillId="0" borderId="0" xfId="0" applyNumberFormat="1" applyFont="1" applyFill="1" applyBorder="1"/>
    <xf numFmtId="2" fontId="4" fillId="0" borderId="26" xfId="0" applyNumberFormat="1" applyFont="1" applyFill="1" applyBorder="1" applyAlignment="1"/>
    <xf numFmtId="2" fontId="4" fillId="0" borderId="26" xfId="0" applyNumberFormat="1" applyFont="1" applyFill="1" applyBorder="1" applyAlignment="1">
      <alignment horizontal="center"/>
    </xf>
    <xf numFmtId="2" fontId="4" fillId="0" borderId="26" xfId="0" quotePrefix="1" applyNumberFormat="1" applyFont="1" applyFill="1" applyBorder="1" applyAlignment="1">
      <alignment horizontal="center"/>
    </xf>
    <xf numFmtId="2" fontId="4" fillId="0" borderId="26" xfId="0" applyNumberFormat="1" applyFont="1" applyFill="1" applyBorder="1" applyAlignment="1">
      <alignment horizontal="right"/>
    </xf>
    <xf numFmtId="0" fontId="4" fillId="0" borderId="0" xfId="0" applyFont="1" applyFill="1" applyBorder="1"/>
    <xf numFmtId="0" fontId="5" fillId="0" borderId="0" xfId="0" applyFont="1" applyFill="1"/>
    <xf numFmtId="0" fontId="3" fillId="0" borderId="23" xfId="0" quotePrefix="1" applyFont="1" applyFill="1" applyBorder="1" applyAlignment="1">
      <alignment horizontal="center"/>
    </xf>
    <xf numFmtId="0" fontId="3" fillId="0" borderId="26" xfId="0" applyFont="1" applyFill="1" applyBorder="1"/>
    <xf numFmtId="3" fontId="3" fillId="0" borderId="26" xfId="0" quotePrefix="1" applyNumberFormat="1" applyFont="1" applyFill="1" applyBorder="1" applyAlignment="1">
      <alignment horizontal="center"/>
    </xf>
    <xf numFmtId="17" fontId="3" fillId="0" borderId="26" xfId="9" quotePrefix="1" applyNumberFormat="1" applyFont="1" applyFill="1" applyBorder="1" applyAlignment="1">
      <alignment horizontal="right"/>
    </xf>
    <xf numFmtId="4" fontId="3" fillId="0" borderId="26" xfId="0" applyNumberFormat="1" applyFont="1" applyFill="1" applyBorder="1" applyAlignment="1"/>
    <xf numFmtId="170" fontId="3" fillId="0" borderId="26" xfId="0" applyNumberFormat="1" applyFont="1" applyFill="1" applyBorder="1" applyAlignment="1"/>
    <xf numFmtId="1" fontId="3" fillId="0" borderId="26" xfId="0" quotePrefix="1" applyNumberFormat="1" applyFont="1" applyFill="1" applyBorder="1" applyAlignment="1">
      <alignment horizontal="center"/>
    </xf>
    <xf numFmtId="175" fontId="3" fillId="0" borderId="26" xfId="0" applyNumberFormat="1" applyFont="1" applyFill="1" applyBorder="1" applyAlignment="1">
      <alignment horizontal="right"/>
    </xf>
    <xf numFmtId="0" fontId="3" fillId="0" borderId="26" xfId="0" applyNumberFormat="1" applyFont="1" applyFill="1" applyBorder="1"/>
    <xf numFmtId="3" fontId="3" fillId="0" borderId="26" xfId="0" applyNumberFormat="1" applyFont="1" applyFill="1" applyBorder="1"/>
    <xf numFmtId="0" fontId="3" fillId="0" borderId="26" xfId="0" applyFont="1" applyFill="1" applyBorder="1" applyAlignment="1">
      <alignment horizontal="center"/>
    </xf>
    <xf numFmtId="169" fontId="3" fillId="0" borderId="26" xfId="0" applyNumberFormat="1" applyFont="1" applyFill="1" applyBorder="1"/>
    <xf numFmtId="0" fontId="3" fillId="0" borderId="0" xfId="0" applyFont="1" applyFill="1" applyBorder="1"/>
    <xf numFmtId="0" fontId="5" fillId="0" borderId="0" xfId="0" applyFont="1" applyFill="1" applyBorder="1"/>
    <xf numFmtId="173" fontId="9" fillId="0" borderId="0" xfId="1" applyNumberFormat="1" applyFont="1" applyFill="1" applyBorder="1"/>
    <xf numFmtId="3" fontId="51" fillId="0" borderId="0" xfId="0" applyNumberFormat="1" applyFont="1" applyFill="1" applyBorder="1"/>
    <xf numFmtId="172" fontId="45" fillId="0" borderId="0" xfId="0" applyNumberFormat="1" applyFont="1" applyFill="1" applyBorder="1"/>
    <xf numFmtId="0" fontId="9" fillId="0" borderId="0" xfId="0" quotePrefix="1" applyFont="1" applyFill="1" applyBorder="1" applyAlignment="1">
      <alignment horizontal="center" vertical="center" wrapText="1"/>
    </xf>
    <xf numFmtId="0" fontId="45" fillId="0" borderId="0" xfId="0" applyFont="1" applyFill="1" applyBorder="1"/>
    <xf numFmtId="173" fontId="9" fillId="0" borderId="40" xfId="1" applyNumberFormat="1" applyFont="1" applyFill="1" applyBorder="1"/>
    <xf numFmtId="172" fontId="9" fillId="0" borderId="40" xfId="1" applyNumberFormat="1" applyFont="1" applyFill="1" applyBorder="1" applyAlignment="1">
      <alignment horizontal="center"/>
    </xf>
    <xf numFmtId="3" fontId="9" fillId="0" borderId="0" xfId="1" applyNumberFormat="1" applyFont="1" applyFill="1" applyBorder="1" applyAlignment="1">
      <alignment horizontal="center"/>
    </xf>
    <xf numFmtId="3" fontId="45" fillId="0" borderId="0" xfId="0" applyNumberFormat="1" applyFont="1" applyFill="1" applyBorder="1"/>
    <xf numFmtId="173" fontId="45" fillId="0" borderId="0" xfId="0" applyNumberFormat="1" applyFont="1" applyFill="1"/>
    <xf numFmtId="0" fontId="45" fillId="0" borderId="0" xfId="0" applyFont="1" applyFill="1"/>
    <xf numFmtId="172" fontId="5" fillId="0" borderId="0" xfId="0" applyNumberFormat="1" applyFont="1" applyFill="1"/>
    <xf numFmtId="3" fontId="5" fillId="0" borderId="0" xfId="0" applyNumberFormat="1" applyFont="1" applyFill="1"/>
    <xf numFmtId="177" fontId="11" fillId="0" borderId="0" xfId="1" applyNumberFormat="1" applyFont="1" applyFill="1" applyBorder="1"/>
    <xf numFmtId="173" fontId="11" fillId="0" borderId="0" xfId="1" applyNumberFormat="1" applyFont="1" applyFill="1" applyBorder="1"/>
    <xf numFmtId="3" fontId="48" fillId="0" borderId="0" xfId="0" applyNumberFormat="1" applyFont="1" applyFill="1" applyBorder="1"/>
    <xf numFmtId="172" fontId="52" fillId="0" borderId="0" xfId="0" applyNumberFormat="1" applyFont="1" applyFill="1" applyBorder="1"/>
    <xf numFmtId="0" fontId="11" fillId="0" borderId="0" xfId="0" quotePrefix="1" applyFont="1" applyFill="1" applyBorder="1" applyAlignment="1">
      <alignment horizontal="center" vertical="center" wrapText="1"/>
    </xf>
    <xf numFmtId="0" fontId="52" fillId="0" borderId="0" xfId="0" applyFont="1" applyFill="1" applyBorder="1"/>
    <xf numFmtId="172" fontId="11" fillId="0" borderId="0" xfId="1" applyNumberFormat="1" applyFont="1" applyFill="1" applyBorder="1" applyAlignment="1">
      <alignment horizontal="center"/>
    </xf>
    <xf numFmtId="3" fontId="11" fillId="0" borderId="40" xfId="1" applyNumberFormat="1" applyFont="1" applyFill="1" applyBorder="1" applyAlignment="1">
      <alignment horizontal="center"/>
    </xf>
    <xf numFmtId="3" fontId="52" fillId="0" borderId="40" xfId="0" applyNumberFormat="1" applyFont="1" applyFill="1" applyBorder="1"/>
    <xf numFmtId="173" fontId="52" fillId="0" borderId="0" xfId="0" applyNumberFormat="1" applyFont="1" applyFill="1"/>
    <xf numFmtId="0" fontId="52" fillId="0" borderId="0" xfId="0" applyFont="1" applyFill="1"/>
    <xf numFmtId="172" fontId="3" fillId="0" borderId="0" xfId="0" applyNumberFormat="1" applyFont="1" applyFill="1"/>
    <xf numFmtId="3" fontId="3" fillId="0" borderId="0" xfId="0" applyNumberFormat="1" applyFont="1" applyFill="1"/>
    <xf numFmtId="0" fontId="17" fillId="0" borderId="26" xfId="0" applyFont="1" applyFill="1" applyBorder="1" applyAlignment="1">
      <alignment wrapText="1"/>
    </xf>
    <xf numFmtId="0" fontId="17" fillId="0" borderId="0" xfId="0" applyFont="1" applyFill="1" applyBorder="1" applyAlignment="1">
      <alignment wrapText="1"/>
    </xf>
    <xf numFmtId="3" fontId="11" fillId="0" borderId="0" xfId="1" applyNumberFormat="1" applyFont="1" applyFill="1" applyBorder="1" applyAlignment="1">
      <alignment horizontal="center"/>
    </xf>
    <xf numFmtId="3" fontId="52" fillId="0" borderId="0" xfId="0" applyNumberFormat="1" applyFont="1" applyFill="1" applyBorder="1"/>
    <xf numFmtId="0" fontId="4" fillId="0" borderId="2" xfId="0" applyFont="1" applyFill="1" applyBorder="1" applyAlignment="1">
      <alignment horizontal="center"/>
    </xf>
    <xf numFmtId="4" fontId="4" fillId="0" borderId="2" xfId="0" applyNumberFormat="1" applyFont="1" applyFill="1" applyBorder="1" applyAlignment="1">
      <alignment horizontal="right"/>
    </xf>
    <xf numFmtId="175" fontId="4" fillId="0" borderId="2" xfId="0" applyNumberFormat="1" applyFont="1" applyFill="1" applyBorder="1" applyAlignment="1">
      <alignment horizontal="right"/>
    </xf>
    <xf numFmtId="3" fontId="4" fillId="0" borderId="2" xfId="0" applyNumberFormat="1" applyFont="1" applyFill="1" applyBorder="1" applyAlignment="1">
      <alignment horizontal="right"/>
    </xf>
    <xf numFmtId="176" fontId="4" fillId="0" borderId="2" xfId="0" applyNumberFormat="1" applyFont="1" applyFill="1" applyBorder="1" applyAlignment="1">
      <alignment horizontal="right"/>
    </xf>
    <xf numFmtId="3" fontId="4" fillId="0" borderId="0" xfId="0" applyNumberFormat="1" applyFont="1" applyFill="1" applyBorder="1" applyAlignment="1">
      <alignment horizontal="right"/>
    </xf>
    <xf numFmtId="0" fontId="1" fillId="0" borderId="0" xfId="0" applyFont="1" applyFill="1" applyBorder="1" applyAlignment="1">
      <alignment horizontal="center"/>
    </xf>
    <xf numFmtId="0" fontId="1" fillId="0" borderId="0" xfId="0" applyFont="1" applyFill="1" applyAlignment="1">
      <alignment horizontal="center"/>
    </xf>
    <xf numFmtId="4" fontId="1" fillId="0" borderId="0" xfId="0" applyNumberFormat="1" applyFont="1" applyFill="1"/>
    <xf numFmtId="174" fontId="17" fillId="0" borderId="0" xfId="6" applyNumberFormat="1" applyFont="1" applyFill="1" applyAlignment="1">
      <alignment horizontal="center"/>
    </xf>
    <xf numFmtId="171" fontId="7" fillId="0" borderId="0" xfId="1" applyNumberFormat="1" applyFont="1" applyFill="1"/>
    <xf numFmtId="0" fontId="2" fillId="0" borderId="0" xfId="0" applyFont="1" applyFill="1" applyBorder="1" applyAlignment="1">
      <alignment horizontal="center"/>
    </xf>
    <xf numFmtId="9" fontId="5" fillId="0" borderId="0" xfId="0" applyNumberFormat="1" applyFont="1" applyFill="1" applyAlignment="1"/>
    <xf numFmtId="0" fontId="2" fillId="0" borderId="0" xfId="0" applyFont="1" applyFill="1"/>
    <xf numFmtId="0" fontId="6" fillId="0" borderId="0" xfId="0" applyFont="1" applyFill="1" applyAlignment="1">
      <alignment wrapText="1"/>
    </xf>
    <xf numFmtId="174" fontId="40" fillId="0" borderId="0" xfId="6" applyNumberFormat="1" applyFont="1" applyFill="1" applyAlignment="1"/>
    <xf numFmtId="0" fontId="19" fillId="0" borderId="0" xfId="9" applyFont="1" applyFill="1" applyAlignment="1">
      <alignment horizontal="center"/>
    </xf>
    <xf numFmtId="3" fontId="19" fillId="0" borderId="0" xfId="9" applyNumberFormat="1" applyFont="1" applyFill="1"/>
    <xf numFmtId="169" fontId="3" fillId="0" borderId="0" xfId="0" applyNumberFormat="1" applyFont="1" applyFill="1" applyAlignment="1">
      <alignment horizontal="right"/>
    </xf>
    <xf numFmtId="3" fontId="6" fillId="0" borderId="0" xfId="0" applyNumberFormat="1" applyFont="1" applyFill="1" applyAlignment="1">
      <alignment horizontal="right"/>
    </xf>
    <xf numFmtId="173" fontId="44" fillId="0" borderId="9" xfId="0" applyNumberFormat="1" applyFont="1" applyFill="1" applyBorder="1"/>
    <xf numFmtId="0" fontId="5" fillId="0" borderId="9" xfId="0" applyFont="1" applyFill="1" applyBorder="1"/>
    <xf numFmtId="0" fontId="17" fillId="0" borderId="45" xfId="0" quotePrefix="1" applyFont="1" applyFill="1" applyBorder="1" applyAlignment="1">
      <alignment horizontal="right"/>
    </xf>
    <xf numFmtId="172" fontId="44" fillId="0" borderId="0" xfId="0" applyNumberFormat="1" applyFont="1" applyFill="1"/>
    <xf numFmtId="0" fontId="7" fillId="0" borderId="0" xfId="0" applyFont="1" applyFill="1"/>
    <xf numFmtId="0" fontId="7" fillId="0" borderId="0" xfId="0" applyFont="1" applyFill="1" applyAlignment="1">
      <alignment horizontal="right"/>
    </xf>
    <xf numFmtId="3" fontId="7" fillId="0" borderId="0" xfId="0" applyNumberFormat="1" applyFont="1" applyFill="1"/>
    <xf numFmtId="0" fontId="23" fillId="0" borderId="0" xfId="0" applyFont="1" applyFill="1"/>
    <xf numFmtId="3" fontId="5" fillId="0" borderId="0" xfId="0" applyNumberFormat="1" applyFont="1" applyFill="1" applyAlignment="1">
      <alignment horizontal="center"/>
    </xf>
    <xf numFmtId="0" fontId="2" fillId="0" borderId="0" xfId="0" applyFont="1" applyFill="1" applyAlignment="1">
      <alignment horizontal="right"/>
    </xf>
    <xf numFmtId="0" fontId="24" fillId="0" borderId="0" xfId="0" applyFont="1" applyFill="1"/>
    <xf numFmtId="0" fontId="24" fillId="0" borderId="0" xfId="0" applyFont="1" applyFill="1" applyAlignment="1"/>
    <xf numFmtId="0" fontId="32" fillId="0" borderId="0" xfId="0" applyFont="1" applyFill="1" applyAlignment="1">
      <alignment horizontal="right"/>
    </xf>
    <xf numFmtId="0" fontId="4" fillId="0" borderId="0" xfId="0" applyFont="1" applyFill="1" applyBorder="1" applyAlignment="1">
      <alignment horizontal="right" vertical="center" wrapText="1"/>
    </xf>
    <xf numFmtId="0" fontId="4" fillId="0" borderId="2" xfId="0" quotePrefix="1" applyFont="1" applyFill="1" applyBorder="1" applyAlignment="1">
      <alignment horizontal="center" vertical="center"/>
    </xf>
    <xf numFmtId="0" fontId="4" fillId="0" borderId="0" xfId="0" quotePrefix="1" applyFont="1" applyFill="1" applyBorder="1" applyAlignment="1">
      <alignment horizontal="right" vertical="center"/>
    </xf>
    <xf numFmtId="0" fontId="25" fillId="0" borderId="7" xfId="0" applyFont="1" applyFill="1" applyBorder="1" applyAlignment="1">
      <alignment horizontal="center" vertical="center"/>
    </xf>
    <xf numFmtId="0" fontId="1" fillId="0" borderId="2" xfId="0" applyFont="1" applyFill="1" applyBorder="1" applyAlignment="1">
      <alignment horizontal="right" vertical="center"/>
    </xf>
    <xf numFmtId="3" fontId="4" fillId="0" borderId="2" xfId="0" applyNumberFormat="1" applyFont="1" applyFill="1" applyBorder="1" applyAlignment="1">
      <alignment horizontal="right" vertical="center"/>
    </xf>
    <xf numFmtId="0" fontId="3" fillId="0" borderId="2" xfId="0" applyFont="1" applyFill="1" applyBorder="1" applyAlignment="1">
      <alignment horizontal="right" vertical="center"/>
    </xf>
    <xf numFmtId="3" fontId="4" fillId="0" borderId="2" xfId="0" applyNumberFormat="1" applyFont="1" applyFill="1" applyBorder="1" applyAlignment="1"/>
    <xf numFmtId="1" fontId="1" fillId="0" borderId="2" xfId="0" quotePrefix="1" applyNumberFormat="1" applyFont="1" applyFill="1" applyBorder="1" applyAlignment="1">
      <alignment horizontal="right" wrapText="1"/>
    </xf>
    <xf numFmtId="3" fontId="3" fillId="0" borderId="2" xfId="0" applyNumberFormat="1" applyFont="1" applyFill="1" applyBorder="1" applyAlignment="1"/>
    <xf numFmtId="3" fontId="3" fillId="0" borderId="0" xfId="0" applyNumberFormat="1" applyFont="1" applyFill="1" applyBorder="1" applyAlignment="1">
      <alignment horizontal="right"/>
    </xf>
    <xf numFmtId="1" fontId="1" fillId="0" borderId="2" xfId="0" quotePrefix="1" applyNumberFormat="1" applyFont="1" applyFill="1" applyBorder="1" applyAlignment="1">
      <alignment horizontal="right"/>
    </xf>
    <xf numFmtId="1" fontId="1" fillId="0" borderId="2" xfId="0" applyNumberFormat="1" applyFont="1" applyFill="1" applyBorder="1" applyAlignment="1">
      <alignment horizontal="right" wrapText="1"/>
    </xf>
    <xf numFmtId="3" fontId="3" fillId="0" borderId="43" xfId="0" applyNumberFormat="1" applyFont="1" applyFill="1" applyBorder="1" applyAlignment="1">
      <alignment horizontal="right"/>
    </xf>
    <xf numFmtId="0" fontId="3" fillId="0" borderId="2" xfId="0" applyFont="1" applyFill="1" applyBorder="1" applyAlignment="1">
      <alignment horizontal="left" wrapText="1"/>
    </xf>
    <xf numFmtId="1" fontId="1" fillId="0" borderId="2" xfId="1" applyNumberFormat="1" applyFont="1" applyFill="1" applyBorder="1" applyAlignment="1">
      <alignment horizontal="right" wrapText="1"/>
    </xf>
    <xf numFmtId="1" fontId="1" fillId="0" borderId="2" xfId="1" quotePrefix="1" applyNumberFormat="1" applyFont="1" applyFill="1" applyBorder="1" applyAlignment="1">
      <alignment horizontal="right" wrapText="1"/>
    </xf>
    <xf numFmtId="0" fontId="3" fillId="0" borderId="26" xfId="0" quotePrefix="1" applyFont="1" applyFill="1" applyBorder="1" applyAlignment="1">
      <alignment horizontal="right"/>
    </xf>
    <xf numFmtId="0" fontId="3" fillId="0" borderId="22" xfId="0" quotePrefix="1" applyFont="1" applyFill="1" applyBorder="1" applyAlignment="1">
      <alignment horizontal="right"/>
    </xf>
    <xf numFmtId="3" fontId="3" fillId="0" borderId="21" xfId="0" applyNumberFormat="1" applyFont="1" applyFill="1" applyBorder="1"/>
    <xf numFmtId="0" fontId="3" fillId="0" borderId="21" xfId="0" applyFont="1" applyFill="1" applyBorder="1"/>
    <xf numFmtId="0" fontId="4" fillId="0" borderId="26" xfId="0" quotePrefix="1" applyFont="1" applyFill="1" applyBorder="1" applyAlignment="1">
      <alignment horizontal="center"/>
    </xf>
    <xf numFmtId="3" fontId="4" fillId="0" borderId="26" xfId="0" applyNumberFormat="1" applyFont="1" applyFill="1" applyBorder="1" applyAlignment="1"/>
    <xf numFmtId="1" fontId="1" fillId="0" borderId="26" xfId="0" applyNumberFormat="1" applyFont="1" applyFill="1" applyBorder="1" applyAlignment="1">
      <alignment horizontal="right" wrapText="1"/>
    </xf>
    <xf numFmtId="3" fontId="3" fillId="0" borderId="26" xfId="0" applyNumberFormat="1" applyFont="1" applyFill="1" applyBorder="1" applyAlignment="1"/>
    <xf numFmtId="1" fontId="1" fillId="0" borderId="3" xfId="1" quotePrefix="1" applyNumberFormat="1" applyFont="1" applyFill="1" applyBorder="1" applyAlignment="1">
      <alignment horizontal="right" wrapText="1"/>
    </xf>
    <xf numFmtId="0" fontId="1" fillId="0" borderId="26" xfId="0" quotePrefix="1" applyFont="1" applyFill="1" applyBorder="1" applyAlignment="1">
      <alignment horizontal="right" wrapText="1"/>
    </xf>
    <xf numFmtId="3" fontId="3" fillId="0" borderId="35" xfId="0" applyNumberFormat="1" applyFont="1" applyFill="1" applyBorder="1" applyAlignment="1"/>
    <xf numFmtId="3" fontId="3" fillId="0" borderId="35" xfId="0" applyNumberFormat="1" applyFont="1" applyFill="1" applyBorder="1"/>
    <xf numFmtId="3" fontId="25" fillId="0" borderId="0" xfId="0" applyNumberFormat="1" applyFont="1" applyFill="1" applyAlignment="1">
      <alignment horizontal="left"/>
    </xf>
    <xf numFmtId="0" fontId="25" fillId="0" borderId="0" xfId="0" applyFont="1" applyFill="1" applyAlignment="1">
      <alignment horizontal="right"/>
    </xf>
    <xf numFmtId="0" fontId="1" fillId="0" borderId="0" xfId="0" quotePrefix="1" applyFont="1" applyFill="1" applyBorder="1" applyAlignment="1">
      <alignment horizontal="center"/>
    </xf>
    <xf numFmtId="0" fontId="23" fillId="0" borderId="0" xfId="0" applyFont="1" applyFill="1" applyAlignment="1">
      <alignment horizontal="left" vertical="center"/>
    </xf>
    <xf numFmtId="0" fontId="3" fillId="0" borderId="0" xfId="0" applyFont="1" applyFill="1" applyAlignment="1">
      <alignment horizontal="right"/>
    </xf>
    <xf numFmtId="0" fontId="17" fillId="0" borderId="0" xfId="0" applyFont="1" applyFill="1"/>
    <xf numFmtId="0" fontId="5" fillId="0" borderId="0" xfId="0" applyFont="1" applyFill="1" applyAlignment="1"/>
    <xf numFmtId="0" fontId="26" fillId="0" borderId="0" xfId="0" applyFont="1" applyFill="1" applyAlignment="1"/>
    <xf numFmtId="0" fontId="26" fillId="0" borderId="0" xfId="0" applyFont="1" applyFill="1" applyAlignment="1">
      <alignment horizontal="center"/>
    </xf>
    <xf numFmtId="168" fontId="1" fillId="0" borderId="0" xfId="1" applyNumberFormat="1" applyFont="1" applyFill="1"/>
    <xf numFmtId="0" fontId="5" fillId="0" borderId="0" xfId="0" applyFont="1" applyFill="1" applyAlignment="1">
      <alignment horizontal="right"/>
    </xf>
    <xf numFmtId="0" fontId="25" fillId="0" borderId="0" xfId="0" applyFont="1" applyFill="1"/>
    <xf numFmtId="0" fontId="23" fillId="0" borderId="0" xfId="0" applyFont="1" applyFill="1" applyAlignment="1">
      <alignment horizontal="right"/>
    </xf>
    <xf numFmtId="0" fontId="23" fillId="0" borderId="0" xfId="0" applyFont="1" applyFill="1" applyAlignment="1"/>
    <xf numFmtId="3" fontId="54" fillId="0" borderId="0" xfId="0" applyNumberFormat="1" applyFont="1" applyFill="1"/>
    <xf numFmtId="170" fontId="3" fillId="0" borderId="26" xfId="0" applyNumberFormat="1" applyFont="1" applyFill="1" applyBorder="1"/>
    <xf numFmtId="1" fontId="3" fillId="0" borderId="27" xfId="0" applyNumberFormat="1" applyFont="1" applyFill="1" applyBorder="1" applyAlignment="1">
      <alignment horizontal="center"/>
    </xf>
    <xf numFmtId="3" fontId="28" fillId="0" borderId="9" xfId="0" applyNumberFormat="1" applyFont="1" applyFill="1" applyBorder="1"/>
    <xf numFmtId="170" fontId="3" fillId="0" borderId="2" xfId="0" quotePrefix="1" applyNumberFormat="1" applyFont="1" applyFill="1" applyBorder="1"/>
    <xf numFmtId="173" fontId="46" fillId="0" borderId="0" xfId="1" applyNumberFormat="1" applyFont="1" applyFill="1" applyBorder="1" applyAlignment="1">
      <alignment vertical="center"/>
    </xf>
    <xf numFmtId="9" fontId="37" fillId="0" borderId="2" xfId="0" applyNumberFormat="1" applyFont="1" applyFill="1" applyBorder="1" applyAlignment="1"/>
    <xf numFmtId="3" fontId="3" fillId="0" borderId="2" xfId="0" quotePrefix="1" applyNumberFormat="1" applyFont="1" applyFill="1" applyBorder="1" applyAlignment="1">
      <alignment horizontal="center"/>
    </xf>
    <xf numFmtId="9" fontId="3" fillId="0" borderId="2" xfId="6" applyFont="1" applyFill="1" applyBorder="1" applyAlignment="1">
      <alignment horizontal="center"/>
    </xf>
    <xf numFmtId="3" fontId="17" fillId="0" borderId="46" xfId="0" quotePrefix="1" applyNumberFormat="1" applyFont="1" applyFill="1" applyBorder="1" applyAlignment="1">
      <alignment horizontal="right"/>
    </xf>
    <xf numFmtId="173" fontId="32" fillId="0" borderId="0" xfId="1" applyNumberFormat="1" applyFont="1" applyFill="1" applyBorder="1"/>
    <xf numFmtId="172" fontId="49" fillId="0" borderId="0" xfId="1" applyNumberFormat="1" applyFont="1" applyFill="1" applyBorder="1" applyAlignment="1">
      <alignment horizontal="center"/>
    </xf>
    <xf numFmtId="0" fontId="43" fillId="0" borderId="40" xfId="0" applyFont="1" applyFill="1" applyBorder="1"/>
    <xf numFmtId="172" fontId="6" fillId="0" borderId="9" xfId="1" applyNumberFormat="1" applyFont="1" applyFill="1" applyBorder="1" applyAlignment="1">
      <alignment horizontal="center"/>
    </xf>
    <xf numFmtId="3" fontId="17" fillId="0" borderId="45" xfId="0" quotePrefix="1" applyNumberFormat="1" applyFont="1" applyFill="1" applyBorder="1" applyAlignment="1">
      <alignment horizontal="right"/>
    </xf>
    <xf numFmtId="173" fontId="19" fillId="3" borderId="9" xfId="1" applyNumberFormat="1" applyFont="1" applyFill="1" applyBorder="1"/>
    <xf numFmtId="3" fontId="46" fillId="3" borderId="9" xfId="0" applyNumberFormat="1" applyFont="1" applyFill="1" applyBorder="1" applyAlignment="1"/>
    <xf numFmtId="3" fontId="46" fillId="3" borderId="0" xfId="0" applyNumberFormat="1" applyFont="1" applyFill="1"/>
    <xf numFmtId="17" fontId="17" fillId="0" borderId="45" xfId="0" quotePrefix="1" applyNumberFormat="1" applyFont="1" applyFill="1" applyBorder="1" applyAlignment="1">
      <alignment horizontal="right"/>
    </xf>
    <xf numFmtId="173" fontId="47" fillId="3" borderId="44" xfId="1" applyNumberFormat="1" applyFont="1" applyFill="1" applyBorder="1" applyAlignment="1">
      <alignment vertical="center"/>
    </xf>
    <xf numFmtId="0" fontId="3" fillId="0" borderId="45" xfId="0" quotePrefix="1" applyFont="1" applyFill="1" applyBorder="1" applyAlignment="1">
      <alignment horizontal="right"/>
    </xf>
    <xf numFmtId="4" fontId="3" fillId="0" borderId="47" xfId="0" applyNumberFormat="1" applyFont="1" applyFill="1" applyBorder="1" applyAlignment="1">
      <alignment horizontal="right"/>
    </xf>
    <xf numFmtId="173" fontId="6" fillId="0" borderId="0" xfId="0" applyNumberFormat="1" applyFont="1" applyFill="1" applyAlignment="1">
      <alignment horizontal="right"/>
    </xf>
    <xf numFmtId="0" fontId="12" fillId="0" borderId="49" xfId="0" applyFont="1" applyFill="1" applyBorder="1" applyAlignment="1">
      <alignment horizontal="left"/>
    </xf>
    <xf numFmtId="3" fontId="55" fillId="0" borderId="0" xfId="0" applyNumberFormat="1" applyFont="1" applyFill="1" applyBorder="1" applyAlignment="1"/>
    <xf numFmtId="0" fontId="12" fillId="0" borderId="49" xfId="0" applyFont="1" applyFill="1" applyBorder="1" applyAlignment="1"/>
    <xf numFmtId="3" fontId="56" fillId="0" borderId="49" xfId="0" applyNumberFormat="1" applyFont="1" applyFill="1" applyBorder="1" applyAlignment="1">
      <alignment horizontal="right"/>
    </xf>
    <xf numFmtId="0" fontId="13" fillId="0" borderId="0" xfId="0" applyFont="1" applyFill="1"/>
    <xf numFmtId="14" fontId="17" fillId="0" borderId="45" xfId="0" quotePrefix="1" applyNumberFormat="1" applyFont="1" applyFill="1" applyBorder="1" applyAlignment="1">
      <alignment horizontal="right"/>
    </xf>
    <xf numFmtId="3" fontId="3" fillId="0" borderId="0" xfId="0" applyNumberFormat="1" applyFont="1" applyFill="1" applyBorder="1" applyAlignment="1">
      <alignment horizontal="center" vertical="center"/>
    </xf>
    <xf numFmtId="0" fontId="23" fillId="0" borderId="0" xfId="0" applyFont="1" applyFill="1" applyAlignment="1">
      <alignment horizontal="left"/>
    </xf>
    <xf numFmtId="3" fontId="4" fillId="0" borderId="0" xfId="0" applyNumberFormat="1" applyFont="1" applyFill="1" applyBorder="1" applyAlignment="1">
      <alignment horizontal="right" vertical="center" wrapText="1"/>
    </xf>
    <xf numFmtId="0" fontId="4" fillId="0" borderId="2" xfId="0" quotePrefix="1" applyFont="1" applyFill="1" applyBorder="1" applyAlignment="1">
      <alignment horizontal="right" vertical="center"/>
    </xf>
    <xf numFmtId="173" fontId="45" fillId="0" borderId="0" xfId="0" applyNumberFormat="1" applyFont="1" applyFill="1" applyBorder="1"/>
    <xf numFmtId="172" fontId="5" fillId="0" borderId="0" xfId="0" applyNumberFormat="1" applyFont="1" applyFill="1" applyBorder="1"/>
    <xf numFmtId="3" fontId="5" fillId="0" borderId="0" xfId="0" applyNumberFormat="1" applyFont="1" applyFill="1" applyBorder="1"/>
    <xf numFmtId="0" fontId="24" fillId="0" borderId="0" xfId="0" applyFont="1" applyFill="1" applyAlignment="1">
      <alignment horizontal="center"/>
    </xf>
    <xf numFmtId="3" fontId="25" fillId="0" borderId="0" xfId="0" applyNumberFormat="1" applyFont="1" applyFill="1" applyAlignment="1">
      <alignment horizontal="right"/>
    </xf>
    <xf numFmtId="0" fontId="4" fillId="0" borderId="35" xfId="0" quotePrefix="1" applyFont="1" applyFill="1" applyBorder="1" applyAlignment="1">
      <alignment horizontal="center" vertical="center"/>
    </xf>
    <xf numFmtId="3" fontId="1" fillId="0" borderId="0" xfId="0" applyNumberFormat="1" applyFont="1" applyFill="1" applyAlignment="1">
      <alignment horizontal="right"/>
    </xf>
    <xf numFmtId="4" fontId="3" fillId="0" borderId="25" xfId="0" applyNumberFormat="1" applyFont="1" applyFill="1" applyBorder="1"/>
    <xf numFmtId="170" fontId="3" fillId="0" borderId="25" xfId="0" applyNumberFormat="1" applyFont="1" applyFill="1" applyBorder="1"/>
    <xf numFmtId="3" fontId="3" fillId="0" borderId="25" xfId="0" applyNumberFormat="1" applyFont="1" applyFill="1" applyBorder="1" applyAlignment="1">
      <alignment horizontal="center"/>
    </xf>
    <xf numFmtId="1" fontId="3" fillId="0" borderId="25" xfId="0" applyNumberFormat="1" applyFont="1" applyFill="1" applyBorder="1" applyAlignment="1">
      <alignment horizontal="center"/>
    </xf>
    <xf numFmtId="9" fontId="3" fillId="0" borderId="25" xfId="0" applyNumberFormat="1" applyFont="1" applyFill="1" applyBorder="1" applyAlignment="1"/>
    <xf numFmtId="9" fontId="3" fillId="0" borderId="2" xfId="0" applyNumberFormat="1" applyFont="1" applyFill="1" applyBorder="1" applyAlignment="1">
      <alignment horizontal="center"/>
    </xf>
    <xf numFmtId="170" fontId="3" fillId="0" borderId="2" xfId="0" applyNumberFormat="1" applyFont="1" applyFill="1" applyBorder="1" applyAlignment="1">
      <alignment horizontal="left"/>
    </xf>
    <xf numFmtId="4" fontId="3" fillId="0" borderId="31" xfId="0" applyNumberFormat="1" applyFont="1" applyFill="1" applyBorder="1" applyAlignment="1"/>
    <xf numFmtId="4" fontId="3" fillId="0" borderId="2" xfId="1" applyNumberFormat="1" applyFont="1" applyFill="1" applyBorder="1"/>
    <xf numFmtId="4" fontId="3" fillId="0" borderId="39" xfId="0" applyNumberFormat="1" applyFont="1" applyFill="1" applyBorder="1" applyAlignment="1"/>
    <xf numFmtId="0" fontId="3" fillId="0" borderId="39" xfId="0" applyNumberFormat="1" applyFont="1" applyFill="1" applyBorder="1" applyAlignment="1"/>
    <xf numFmtId="1" fontId="3" fillId="0" borderId="39" xfId="0" quotePrefix="1" applyNumberFormat="1" applyFont="1" applyFill="1" applyBorder="1" applyAlignment="1">
      <alignment horizontal="center"/>
    </xf>
    <xf numFmtId="4" fontId="4" fillId="0" borderId="2" xfId="0" quotePrefix="1" applyNumberFormat="1" applyFont="1" applyFill="1" applyBorder="1" applyAlignment="1">
      <alignment horizontal="center"/>
    </xf>
    <xf numFmtId="4" fontId="3" fillId="0" borderId="2" xfId="0" quotePrefix="1" applyNumberFormat="1" applyFont="1" applyFill="1" applyBorder="1" applyAlignment="1">
      <alignment horizontal="right"/>
    </xf>
    <xf numFmtId="9" fontId="2" fillId="0" borderId="2" xfId="0" applyNumberFormat="1" applyFont="1" applyFill="1" applyBorder="1" applyAlignment="1">
      <alignment horizontal="center"/>
    </xf>
    <xf numFmtId="175" fontId="2" fillId="0" borderId="2" xfId="0" applyNumberFormat="1" applyFont="1" applyFill="1" applyBorder="1" applyAlignment="1"/>
    <xf numFmtId="49" fontId="3" fillId="0" borderId="2" xfId="6" applyNumberFormat="1" applyFont="1" applyFill="1" applyBorder="1" applyAlignment="1">
      <alignment horizontal="center"/>
    </xf>
    <xf numFmtId="0" fontId="48" fillId="0" borderId="2" xfId="0" applyFont="1" applyFill="1" applyBorder="1" applyAlignment="1"/>
    <xf numFmtId="0" fontId="1" fillId="0" borderId="2" xfId="0" applyFont="1" applyFill="1" applyBorder="1" applyAlignment="1"/>
    <xf numFmtId="4" fontId="3" fillId="0" borderId="48" xfId="0" applyNumberFormat="1" applyFont="1" applyFill="1" applyBorder="1" applyAlignment="1">
      <alignment horizontal="right"/>
    </xf>
    <xf numFmtId="49" fontId="3" fillId="0" borderId="48" xfId="6" applyNumberFormat="1" applyFont="1" applyFill="1" applyBorder="1" applyAlignment="1">
      <alignment horizontal="center"/>
    </xf>
    <xf numFmtId="175" fontId="3" fillId="0" borderId="48" xfId="0" applyNumberFormat="1" applyFont="1" applyFill="1" applyBorder="1" applyAlignment="1">
      <alignment horizontal="right"/>
    </xf>
    <xf numFmtId="4" fontId="3" fillId="0" borderId="43" xfId="0" applyNumberFormat="1" applyFont="1" applyFill="1" applyBorder="1"/>
    <xf numFmtId="4" fontId="3" fillId="0" borderId="43" xfId="0" applyNumberFormat="1" applyFont="1" applyFill="1" applyBorder="1" applyAlignment="1"/>
    <xf numFmtId="9" fontId="12" fillId="0" borderId="43" xfId="0" applyNumberFormat="1" applyFont="1" applyFill="1" applyBorder="1" applyAlignment="1">
      <alignment horizontal="center"/>
    </xf>
    <xf numFmtId="175" fontId="39" fillId="0" borderId="43" xfId="0" applyNumberFormat="1" applyFont="1" applyFill="1" applyBorder="1" applyAlignment="1"/>
    <xf numFmtId="49" fontId="3" fillId="0" borderId="43" xfId="6" applyNumberFormat="1" applyFont="1" applyFill="1" applyBorder="1" applyAlignment="1">
      <alignment horizontal="center"/>
    </xf>
    <xf numFmtId="175" fontId="3" fillId="0" borderId="43" xfId="0" applyNumberFormat="1" applyFont="1" applyFill="1" applyBorder="1" applyAlignment="1">
      <alignment horizontal="right"/>
    </xf>
    <xf numFmtId="17" fontId="17" fillId="0" borderId="26" xfId="0" quotePrefix="1" applyNumberFormat="1" applyFont="1" applyFill="1" applyBorder="1" applyAlignment="1">
      <alignment horizontal="center"/>
    </xf>
    <xf numFmtId="9" fontId="12" fillId="0" borderId="26" xfId="0" applyNumberFormat="1" applyFont="1" applyFill="1" applyBorder="1" applyAlignment="1">
      <alignment horizontal="center"/>
    </xf>
    <xf numFmtId="175" fontId="39" fillId="0" borderId="26" xfId="0" applyNumberFormat="1" applyFont="1" applyFill="1" applyBorder="1" applyAlignment="1"/>
    <xf numFmtId="49" fontId="3" fillId="0" borderId="26" xfId="6" applyNumberFormat="1" applyFont="1" applyFill="1" applyBorder="1" applyAlignment="1">
      <alignment horizontal="center"/>
    </xf>
    <xf numFmtId="169" fontId="3" fillId="0" borderId="26" xfId="0" applyNumberFormat="1" applyFont="1" applyFill="1" applyBorder="1" applyAlignment="1"/>
    <xf numFmtId="0" fontId="3" fillId="0" borderId="26" xfId="0" applyFont="1" applyFill="1" applyBorder="1" applyAlignment="1"/>
    <xf numFmtId="0" fontId="6" fillId="0" borderId="40" xfId="0" applyFont="1" applyFill="1" applyBorder="1"/>
    <xf numFmtId="0" fontId="55" fillId="0" borderId="0" xfId="0" applyFont="1" applyFill="1" applyBorder="1" applyAlignment="1"/>
    <xf numFmtId="0" fontId="6" fillId="0" borderId="0" xfId="0" applyFont="1" applyFill="1" applyAlignment="1">
      <alignment horizontal="center"/>
    </xf>
    <xf numFmtId="3" fontId="56" fillId="0" borderId="49" xfId="0" applyNumberFormat="1" applyFont="1" applyFill="1" applyBorder="1" applyAlignment="1">
      <alignment horizontal="center"/>
    </xf>
    <xf numFmtId="3" fontId="17" fillId="0" borderId="43" xfId="0" applyNumberFormat="1" applyFont="1" applyFill="1" applyBorder="1" applyAlignment="1">
      <alignment horizontal="right" wrapText="1"/>
    </xf>
    <xf numFmtId="3" fontId="3" fillId="0" borderId="0" xfId="0" applyNumberFormat="1" applyFont="1" applyFill="1" applyBorder="1" applyAlignment="1">
      <alignment horizontal="right" vertical="center"/>
    </xf>
    <xf numFmtId="3" fontId="4" fillId="0" borderId="26" xfId="0" applyNumberFormat="1" applyFont="1" applyFill="1" applyBorder="1" applyAlignment="1">
      <alignment horizontal="right"/>
    </xf>
    <xf numFmtId="172" fontId="12" fillId="0" borderId="0" xfId="0" applyNumberFormat="1" applyFont="1" applyFill="1"/>
    <xf numFmtId="0" fontId="45" fillId="0" borderId="0" xfId="0" applyFont="1" applyFill="1" applyBorder="1" applyAlignment="1">
      <alignment horizontal="center"/>
    </xf>
    <xf numFmtId="3" fontId="54" fillId="3" borderId="0" xfId="0" applyNumberFormat="1" applyFont="1" applyFill="1"/>
    <xf numFmtId="3" fontId="46" fillId="3" borderId="9" xfId="0" applyNumberFormat="1" applyFont="1" applyFill="1" applyBorder="1"/>
    <xf numFmtId="0" fontId="3" fillId="0" borderId="0" xfId="0" applyFont="1" applyFill="1" applyBorder="1" applyAlignment="1">
      <alignment horizontal="center" vertical="center"/>
    </xf>
    <xf numFmtId="178" fontId="3" fillId="0" borderId="2" xfId="0" applyNumberFormat="1" applyFont="1" applyFill="1" applyBorder="1"/>
    <xf numFmtId="3" fontId="4" fillId="0" borderId="49" xfId="0" applyNumberFormat="1" applyFont="1" applyFill="1" applyBorder="1" applyAlignment="1">
      <alignment horizontal="center" vertical="center" wrapText="1"/>
    </xf>
    <xf numFmtId="0" fontId="3" fillId="0" borderId="49" xfId="0" applyFont="1" applyFill="1" applyBorder="1" applyAlignment="1">
      <alignment horizontal="center" vertical="center"/>
    </xf>
    <xf numFmtId="0" fontId="17" fillId="0" borderId="49" xfId="0" applyFont="1" applyFill="1" applyBorder="1" applyAlignment="1">
      <alignment horizontal="center" vertical="center"/>
    </xf>
    <xf numFmtId="3" fontId="3" fillId="0" borderId="49" xfId="0" applyNumberFormat="1" applyFont="1" applyFill="1" applyBorder="1" applyAlignment="1">
      <alignment horizontal="center" vertical="center"/>
    </xf>
    <xf numFmtId="0" fontId="4" fillId="0" borderId="48" xfId="0" applyFont="1" applyFill="1" applyBorder="1" applyAlignment="1">
      <alignment horizontal="center"/>
    </xf>
    <xf numFmtId="0" fontId="40" fillId="0" borderId="49" xfId="0" applyFont="1" applyFill="1" applyBorder="1" applyAlignment="1">
      <alignment horizontal="center"/>
    </xf>
    <xf numFmtId="4" fontId="40" fillId="0" borderId="49" xfId="0" applyNumberFormat="1" applyFont="1" applyFill="1" applyBorder="1" applyAlignment="1">
      <alignment horizontal="center"/>
    </xf>
    <xf numFmtId="4" fontId="4" fillId="0" borderId="49" xfId="0" applyNumberFormat="1" applyFont="1" applyFill="1" applyBorder="1" applyAlignment="1">
      <alignment vertical="center"/>
    </xf>
    <xf numFmtId="175" fontId="4" fillId="0" borderId="49" xfId="0" applyNumberFormat="1" applyFont="1" applyFill="1" applyBorder="1" applyAlignment="1">
      <alignment vertical="center"/>
    </xf>
    <xf numFmtId="172" fontId="4" fillId="0" borderId="49" xfId="1" applyNumberFormat="1" applyFont="1" applyFill="1" applyBorder="1" applyAlignment="1">
      <alignment vertical="center"/>
    </xf>
    <xf numFmtId="0" fontId="4" fillId="0" borderId="49" xfId="0" applyFont="1" applyFill="1" applyBorder="1" applyAlignment="1">
      <alignment vertical="center"/>
    </xf>
    <xf numFmtId="176" fontId="4" fillId="0" borderId="49" xfId="0" applyNumberFormat="1" applyFont="1" applyFill="1" applyBorder="1" applyAlignment="1">
      <alignment vertical="center"/>
    </xf>
    <xf numFmtId="3" fontId="4" fillId="0" borderId="49" xfId="0" applyNumberFormat="1" applyFont="1" applyFill="1" applyBorder="1" applyAlignment="1">
      <alignment vertical="center"/>
    </xf>
    <xf numFmtId="169" fontId="4" fillId="0" borderId="49" xfId="0" applyNumberFormat="1" applyFont="1" applyFill="1" applyBorder="1" applyAlignment="1">
      <alignment vertical="center"/>
    </xf>
    <xf numFmtId="0" fontId="3" fillId="0" borderId="49" xfId="0" quotePrefix="1" applyFont="1" applyFill="1" applyBorder="1" applyAlignment="1">
      <alignment horizontal="center"/>
    </xf>
    <xf numFmtId="0" fontId="3" fillId="0" borderId="49" xfId="0" applyFont="1" applyFill="1" applyBorder="1"/>
    <xf numFmtId="3" fontId="3" fillId="0" borderId="49" xfId="0" applyNumberFormat="1" applyFont="1" applyFill="1" applyBorder="1" applyAlignment="1">
      <alignment horizontal="center"/>
    </xf>
    <xf numFmtId="17" fontId="17" fillId="0" borderId="49" xfId="0" quotePrefix="1" applyNumberFormat="1" applyFont="1" applyFill="1" applyBorder="1" applyAlignment="1">
      <alignment horizontal="center"/>
    </xf>
    <xf numFmtId="14" fontId="17" fillId="0" borderId="49" xfId="0" quotePrefix="1" applyNumberFormat="1" applyFont="1" applyFill="1" applyBorder="1" applyAlignment="1">
      <alignment horizontal="right"/>
    </xf>
    <xf numFmtId="4" fontId="3" fillId="0" borderId="49" xfId="0" applyNumberFormat="1" applyFont="1" applyFill="1" applyBorder="1"/>
    <xf numFmtId="170" fontId="3" fillId="0" borderId="49" xfId="0" quotePrefix="1" applyNumberFormat="1" applyFont="1" applyFill="1" applyBorder="1"/>
    <xf numFmtId="175" fontId="3" fillId="0" borderId="49" xfId="0" applyNumberFormat="1" applyFont="1" applyFill="1" applyBorder="1" applyAlignment="1">
      <alignment horizontal="center"/>
    </xf>
    <xf numFmtId="1" fontId="3" fillId="0" borderId="49" xfId="0" applyNumberFormat="1" applyFont="1" applyFill="1" applyBorder="1" applyAlignment="1">
      <alignment horizontal="center"/>
    </xf>
    <xf numFmtId="175" fontId="3" fillId="0" borderId="49" xfId="0" applyNumberFormat="1" applyFont="1" applyFill="1" applyBorder="1" applyAlignment="1">
      <alignment horizontal="right"/>
    </xf>
    <xf numFmtId="3" fontId="3" fillId="0" borderId="49" xfId="0" applyNumberFormat="1" applyFont="1" applyFill="1" applyBorder="1"/>
    <xf numFmtId="9" fontId="3" fillId="0" borderId="49" xfId="0" applyNumberFormat="1" applyFont="1" applyFill="1" applyBorder="1" applyAlignment="1"/>
    <xf numFmtId="178" fontId="3" fillId="0" borderId="49" xfId="0" applyNumberFormat="1" applyFont="1" applyFill="1" applyBorder="1"/>
    <xf numFmtId="0" fontId="3" fillId="0" borderId="49" xfId="0" applyFont="1" applyFill="1" applyBorder="1" applyAlignment="1">
      <alignment horizontal="center"/>
    </xf>
    <xf numFmtId="169" fontId="3" fillId="0" borderId="49" xfId="0" applyNumberFormat="1" applyFont="1" applyFill="1" applyBorder="1"/>
    <xf numFmtId="3" fontId="3" fillId="0" borderId="49" xfId="0" applyNumberFormat="1" applyFont="1" applyFill="1" applyBorder="1" applyAlignment="1">
      <alignment horizontal="right"/>
    </xf>
    <xf numFmtId="3" fontId="17" fillId="0" borderId="49" xfId="0" quotePrefix="1" applyNumberFormat="1" applyFont="1" applyFill="1" applyBorder="1" applyAlignment="1">
      <alignment horizontal="center"/>
    </xf>
    <xf numFmtId="3" fontId="17" fillId="0" borderId="49" xfId="0" quotePrefix="1" applyNumberFormat="1" applyFont="1" applyFill="1" applyBorder="1" applyAlignment="1">
      <alignment horizontal="right"/>
    </xf>
    <xf numFmtId="4" fontId="3" fillId="0" borderId="49" xfId="0" applyNumberFormat="1" applyFont="1" applyFill="1" applyBorder="1" applyAlignment="1"/>
    <xf numFmtId="170" fontId="3" fillId="0" borderId="49" xfId="0" applyNumberFormat="1" applyFont="1" applyFill="1" applyBorder="1" applyAlignment="1"/>
    <xf numFmtId="1" fontId="3" fillId="0" borderId="49" xfId="0" quotePrefix="1" applyNumberFormat="1" applyFont="1" applyFill="1" applyBorder="1" applyAlignment="1">
      <alignment horizontal="center"/>
    </xf>
    <xf numFmtId="0" fontId="17" fillId="0" borderId="49" xfId="0" quotePrefix="1" applyFont="1" applyFill="1" applyBorder="1" applyAlignment="1">
      <alignment horizontal="center"/>
    </xf>
    <xf numFmtId="0" fontId="17" fillId="3" borderId="49" xfId="0" quotePrefix="1" applyFont="1" applyFill="1" applyBorder="1" applyAlignment="1">
      <alignment horizontal="right"/>
    </xf>
    <xf numFmtId="170" fontId="3" fillId="0" borderId="49" xfId="0" applyNumberFormat="1" applyFont="1" applyFill="1" applyBorder="1"/>
    <xf numFmtId="0" fontId="17" fillId="0" borderId="49" xfId="0" quotePrefix="1" applyFont="1" applyFill="1" applyBorder="1" applyAlignment="1">
      <alignment horizontal="right"/>
    </xf>
    <xf numFmtId="1" fontId="3" fillId="0" borderId="48" xfId="0" applyNumberFormat="1" applyFont="1" applyFill="1" applyBorder="1" applyAlignment="1">
      <alignment horizontal="center"/>
    </xf>
    <xf numFmtId="0" fontId="17" fillId="4" borderId="49" xfId="0" quotePrefix="1" applyFont="1" applyFill="1" applyBorder="1" applyAlignment="1">
      <alignment horizontal="right"/>
    </xf>
    <xf numFmtId="3" fontId="17" fillId="3" borderId="49" xfId="0" quotePrefix="1" applyNumberFormat="1" applyFont="1" applyFill="1" applyBorder="1" applyAlignment="1">
      <alignment horizontal="right"/>
    </xf>
    <xf numFmtId="9" fontId="3" fillId="0" borderId="49" xfId="0" applyNumberFormat="1" applyFont="1" applyFill="1" applyBorder="1" applyAlignment="1">
      <alignment horizontal="center"/>
    </xf>
    <xf numFmtId="170" fontId="3" fillId="0" borderId="49" xfId="0" applyNumberFormat="1" applyFont="1" applyFill="1" applyBorder="1" applyAlignment="1">
      <alignment horizontal="left"/>
    </xf>
    <xf numFmtId="1" fontId="3" fillId="0" borderId="49" xfId="6" quotePrefix="1" applyNumberFormat="1" applyFont="1" applyFill="1" applyBorder="1" applyAlignment="1">
      <alignment horizontal="center"/>
    </xf>
    <xf numFmtId="0" fontId="3" fillId="0" borderId="49" xfId="0" applyFont="1" applyFill="1" applyBorder="1" applyAlignment="1"/>
    <xf numFmtId="4" fontId="3" fillId="0" borderId="48" xfId="0" applyNumberFormat="1" applyFont="1" applyFill="1" applyBorder="1" applyAlignment="1"/>
    <xf numFmtId="17" fontId="17" fillId="0" borderId="49" xfId="0" quotePrefix="1" applyNumberFormat="1" applyFont="1" applyFill="1" applyBorder="1" applyAlignment="1">
      <alignment horizontal="right"/>
    </xf>
    <xf numFmtId="9" fontId="37" fillId="0" borderId="49" xfId="0" applyNumberFormat="1" applyFont="1" applyFill="1" applyBorder="1" applyAlignment="1"/>
    <xf numFmtId="4" fontId="3" fillId="0" borderId="49" xfId="1" applyNumberFormat="1" applyFont="1" applyFill="1" applyBorder="1"/>
    <xf numFmtId="0" fontId="3" fillId="0" borderId="49" xfId="0" quotePrefix="1" applyFont="1" applyFill="1" applyBorder="1" applyAlignment="1">
      <alignment horizontal="right"/>
    </xf>
    <xf numFmtId="0" fontId="3" fillId="0" borderId="49" xfId="0" applyNumberFormat="1" applyFont="1" applyFill="1" applyBorder="1" applyAlignment="1"/>
    <xf numFmtId="4" fontId="4" fillId="0" borderId="49" xfId="0" quotePrefix="1" applyNumberFormat="1" applyFont="1" applyFill="1" applyBorder="1" applyAlignment="1">
      <alignment horizontal="center"/>
    </xf>
    <xf numFmtId="4" fontId="3" fillId="0" borderId="49" xfId="0" quotePrefix="1" applyNumberFormat="1" applyFont="1" applyFill="1" applyBorder="1" applyAlignment="1">
      <alignment horizontal="right"/>
    </xf>
    <xf numFmtId="0" fontId="3" fillId="0" borderId="49" xfId="0" applyFont="1" applyFill="1" applyBorder="1" applyAlignment="1">
      <alignment wrapText="1"/>
    </xf>
    <xf numFmtId="4" fontId="3" fillId="0" borderId="49" xfId="0" applyNumberFormat="1" applyFont="1" applyFill="1" applyBorder="1" applyAlignment="1">
      <alignment horizontal="right"/>
    </xf>
    <xf numFmtId="9" fontId="2" fillId="0" borderId="49" xfId="0" applyNumberFormat="1" applyFont="1" applyFill="1" applyBorder="1" applyAlignment="1">
      <alignment horizontal="center"/>
    </xf>
    <xf numFmtId="175" fontId="2" fillId="0" borderId="49" xfId="0" applyNumberFormat="1" applyFont="1" applyFill="1" applyBorder="1" applyAlignment="1"/>
    <xf numFmtId="49" fontId="3" fillId="0" borderId="49" xfId="6" applyNumberFormat="1" applyFont="1" applyFill="1" applyBorder="1" applyAlignment="1">
      <alignment horizontal="center"/>
    </xf>
    <xf numFmtId="169" fontId="3" fillId="0" borderId="49" xfId="0" applyNumberFormat="1" applyFont="1" applyFill="1" applyBorder="1" applyAlignment="1"/>
    <xf numFmtId="0" fontId="11" fillId="0" borderId="49" xfId="0" applyFont="1" applyFill="1" applyBorder="1" applyAlignment="1">
      <alignment wrapText="1"/>
    </xf>
    <xf numFmtId="9" fontId="12" fillId="0" borderId="49" xfId="0" applyNumberFormat="1" applyFont="1" applyFill="1" applyBorder="1" applyAlignment="1">
      <alignment horizontal="center"/>
    </xf>
    <xf numFmtId="175" fontId="39" fillId="0" borderId="49" xfId="0" applyNumberFormat="1" applyFont="1" applyFill="1" applyBorder="1" applyAlignment="1"/>
    <xf numFmtId="0" fontId="48" fillId="0" borderId="49" xfId="0" applyFont="1" applyFill="1" applyBorder="1" applyAlignment="1"/>
    <xf numFmtId="0" fontId="1" fillId="0" borderId="49" xfId="0" applyFont="1" applyFill="1" applyBorder="1" applyAlignment="1"/>
    <xf numFmtId="3" fontId="3" fillId="0" borderId="49" xfId="0" quotePrefix="1" applyNumberFormat="1" applyFont="1" applyFill="1" applyBorder="1" applyAlignment="1">
      <alignment horizontal="center"/>
    </xf>
    <xf numFmtId="9" fontId="3" fillId="0" borderId="49" xfId="6" applyFont="1" applyFill="1" applyBorder="1" applyAlignment="1">
      <alignment horizontal="center"/>
    </xf>
    <xf numFmtId="0" fontId="6" fillId="0" borderId="49" xfId="0" applyFont="1" applyFill="1" applyBorder="1"/>
    <xf numFmtId="0" fontId="1" fillId="0" borderId="49" xfId="0" applyFont="1" applyFill="1" applyBorder="1"/>
    <xf numFmtId="3" fontId="17" fillId="0" borderId="47" xfId="0" quotePrefix="1" applyNumberFormat="1" applyFont="1" applyFill="1" applyBorder="1" applyAlignment="1">
      <alignment horizontal="right"/>
    </xf>
    <xf numFmtId="173" fontId="50" fillId="0" borderId="49" xfId="1" applyNumberFormat="1" applyFont="1" applyFill="1" applyBorder="1"/>
    <xf numFmtId="0" fontId="43" fillId="0" borderId="49" xfId="0" applyFont="1" applyFill="1" applyBorder="1"/>
    <xf numFmtId="0" fontId="4" fillId="0" borderId="47" xfId="0" quotePrefix="1" applyFont="1" applyFill="1" applyBorder="1" applyAlignment="1">
      <alignment horizontal="center" vertical="center"/>
    </xf>
    <xf numFmtId="2" fontId="4" fillId="0" borderId="49" xfId="0" applyNumberFormat="1" applyFont="1" applyFill="1" applyBorder="1" applyAlignment="1"/>
    <xf numFmtId="2" fontId="4" fillId="0" borderId="49" xfId="0" applyNumberFormat="1" applyFont="1" applyFill="1" applyBorder="1" applyAlignment="1">
      <alignment horizontal="center"/>
    </xf>
    <xf numFmtId="2" fontId="4" fillId="0" borderId="49" xfId="0" quotePrefix="1" applyNumberFormat="1" applyFont="1" applyFill="1" applyBorder="1" applyAlignment="1">
      <alignment horizontal="center"/>
    </xf>
    <xf numFmtId="2" fontId="4" fillId="0" borderId="49" xfId="0" applyNumberFormat="1" applyFont="1" applyFill="1" applyBorder="1" applyAlignment="1">
      <alignment horizontal="right"/>
    </xf>
    <xf numFmtId="3" fontId="4" fillId="0" borderId="49" xfId="0" applyNumberFormat="1" applyFont="1" applyFill="1" applyBorder="1" applyAlignment="1">
      <alignment horizontal="right"/>
    </xf>
    <xf numFmtId="173" fontId="9" fillId="0" borderId="49" xfId="1" applyNumberFormat="1" applyFont="1" applyFill="1" applyBorder="1"/>
    <xf numFmtId="172" fontId="9" fillId="0" borderId="49" xfId="1" applyNumberFormat="1" applyFont="1" applyFill="1" applyBorder="1" applyAlignment="1">
      <alignment horizontal="center"/>
    </xf>
    <xf numFmtId="0" fontId="3" fillId="0" borderId="47" xfId="0" quotePrefix="1" applyFont="1" applyFill="1" applyBorder="1" applyAlignment="1">
      <alignment horizontal="center"/>
    </xf>
    <xf numFmtId="17" fontId="3" fillId="0" borderId="49" xfId="9" quotePrefix="1" applyNumberFormat="1" applyFont="1" applyFill="1" applyBorder="1" applyAlignment="1">
      <alignment horizontal="right"/>
    </xf>
    <xf numFmtId="0" fontId="3" fillId="0" borderId="49" xfId="0" applyNumberFormat="1" applyFont="1" applyFill="1" applyBorder="1"/>
    <xf numFmtId="3" fontId="11" fillId="0" borderId="49" xfId="1" applyNumberFormat="1" applyFont="1" applyFill="1" applyBorder="1" applyAlignment="1">
      <alignment horizontal="center"/>
    </xf>
    <xf numFmtId="3" fontId="52" fillId="0" borderId="49" xfId="0" applyNumberFormat="1" applyFont="1" applyFill="1" applyBorder="1"/>
    <xf numFmtId="0" fontId="17" fillId="0" borderId="49" xfId="0" applyFont="1" applyFill="1" applyBorder="1" applyAlignment="1">
      <alignment wrapText="1"/>
    </xf>
    <xf numFmtId="0" fontId="4" fillId="0" borderId="49" xfId="0" applyFont="1" applyFill="1" applyBorder="1" applyAlignment="1">
      <alignment horizontal="center"/>
    </xf>
    <xf numFmtId="4" fontId="4" fillId="0" borderId="49" xfId="0" applyNumberFormat="1" applyFont="1" applyFill="1" applyBorder="1" applyAlignment="1">
      <alignment horizontal="right"/>
    </xf>
    <xf numFmtId="175" fontId="4" fillId="0" borderId="49" xfId="0" applyNumberFormat="1" applyFont="1" applyFill="1" applyBorder="1" applyAlignment="1">
      <alignment horizontal="right"/>
    </xf>
    <xf numFmtId="176" fontId="4" fillId="0" borderId="49" xfId="0" applyNumberFormat="1" applyFont="1" applyFill="1" applyBorder="1" applyAlignment="1">
      <alignment horizontal="right"/>
    </xf>
    <xf numFmtId="3" fontId="4" fillId="0" borderId="28" xfId="0" applyNumberFormat="1" applyFont="1" applyFill="1" applyBorder="1" applyAlignment="1">
      <alignment horizontal="center" vertical="center"/>
    </xf>
    <xf numFmtId="169" fontId="4" fillId="0" borderId="2" xfId="0" applyNumberFormat="1" applyFont="1" applyFill="1" applyBorder="1" applyAlignment="1">
      <alignment horizontal="right"/>
    </xf>
    <xf numFmtId="1" fontId="37" fillId="0" borderId="2" xfId="0" applyNumberFormat="1" applyFont="1" applyFill="1" applyBorder="1" applyAlignment="1">
      <alignment horizontal="center"/>
    </xf>
    <xf numFmtId="1" fontId="3" fillId="0" borderId="2" xfId="6" quotePrefix="1" applyNumberFormat="1" applyFont="1" applyFill="1" applyBorder="1" applyAlignment="1">
      <alignment horizontal="center"/>
    </xf>
    <xf numFmtId="173" fontId="57" fillId="0" borderId="9" xfId="1" applyNumberFormat="1" applyFont="1" applyFill="1" applyBorder="1" applyAlignment="1">
      <alignment vertical="center"/>
    </xf>
    <xf numFmtId="3" fontId="54" fillId="0" borderId="9" xfId="0" applyNumberFormat="1" applyFont="1" applyFill="1" applyBorder="1" applyAlignment="1"/>
    <xf numFmtId="3" fontId="54" fillId="0" borderId="9" xfId="0" applyNumberFormat="1" applyFont="1" applyFill="1" applyBorder="1"/>
    <xf numFmtId="173" fontId="58" fillId="0" borderId="9" xfId="1" applyNumberFormat="1" applyFont="1" applyFill="1" applyBorder="1"/>
    <xf numFmtId="173" fontId="59" fillId="0" borderId="9" xfId="0" applyNumberFormat="1" applyFont="1" applyFill="1" applyBorder="1"/>
    <xf numFmtId="173" fontId="57" fillId="0" borderId="44" xfId="1" applyNumberFormat="1" applyFont="1" applyFill="1" applyBorder="1" applyAlignment="1">
      <alignment vertical="center"/>
    </xf>
    <xf numFmtId="0" fontId="24" fillId="0" borderId="0" xfId="5" applyFont="1" applyFill="1" applyAlignment="1">
      <alignment horizontal="center" wrapText="1"/>
    </xf>
    <xf numFmtId="0" fontId="25" fillId="0" borderId="0" xfId="0" applyFont="1" applyFill="1" applyAlignment="1">
      <alignment horizontal="center" vertical="center"/>
    </xf>
    <xf numFmtId="0" fontId="23" fillId="0" borderId="0" xfId="0" applyFont="1" applyFill="1" applyAlignment="1">
      <alignment horizontal="center"/>
    </xf>
    <xf numFmtId="0" fontId="5" fillId="0" borderId="0" xfId="0" applyFont="1" applyFill="1" applyAlignment="1">
      <alignment horizontal="center"/>
    </xf>
    <xf numFmtId="0" fontId="5" fillId="0" borderId="0" xfId="0" applyFont="1" applyFill="1" applyAlignment="1">
      <alignment horizontal="left"/>
    </xf>
    <xf numFmtId="0" fontId="6" fillId="0" borderId="0" xfId="0" applyFont="1" applyFill="1" applyAlignment="1">
      <alignment horizontal="left"/>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33" fillId="0" borderId="0" xfId="0" applyFont="1" applyFill="1" applyAlignment="1">
      <alignment horizontal="center"/>
    </xf>
    <xf numFmtId="0" fontId="25" fillId="0" borderId="0" xfId="0" applyFont="1" applyFill="1" applyAlignment="1">
      <alignment horizontal="left"/>
    </xf>
    <xf numFmtId="0" fontId="13" fillId="0" borderId="0" xfId="0" applyFont="1" applyFill="1" applyAlignment="1">
      <alignment horizontal="center"/>
    </xf>
    <xf numFmtId="3" fontId="13" fillId="0" borderId="0" xfId="9" applyNumberFormat="1" applyFont="1" applyFill="1" applyAlignment="1">
      <alignment horizontal="center"/>
    </xf>
    <xf numFmtId="3" fontId="28" fillId="0" borderId="0" xfId="9" applyNumberFormat="1" applyFont="1" applyFill="1" applyAlignment="1">
      <alignment horizontal="center"/>
    </xf>
    <xf numFmtId="0" fontId="42" fillId="0" borderId="0" xfId="0" applyFont="1" applyFill="1" applyAlignment="1">
      <alignment horizontal="center"/>
    </xf>
    <xf numFmtId="0" fontId="4" fillId="0" borderId="2" xfId="0" applyFont="1" applyFill="1" applyBorder="1" applyAlignment="1">
      <alignment horizontal="center" vertical="center"/>
    </xf>
    <xf numFmtId="0" fontId="5" fillId="0" borderId="0" xfId="0" applyFont="1" applyFill="1" applyAlignment="1">
      <alignment horizontal="center" wrapText="1"/>
    </xf>
    <xf numFmtId="0" fontId="4" fillId="0" borderId="47" xfId="0" applyFont="1" applyFill="1" applyBorder="1" applyAlignment="1">
      <alignment horizontal="center" vertical="center"/>
    </xf>
    <xf numFmtId="0" fontId="4" fillId="0" borderId="49" xfId="0" applyFont="1" applyFill="1" applyBorder="1" applyAlignment="1">
      <alignment horizontal="center" vertical="center"/>
    </xf>
    <xf numFmtId="0" fontId="3" fillId="0" borderId="42" xfId="0" applyFont="1" applyFill="1" applyBorder="1" applyAlignment="1">
      <alignment horizontal="center" vertical="center"/>
    </xf>
    <xf numFmtId="179" fontId="19" fillId="0" borderId="0" xfId="0" applyNumberFormat="1" applyFont="1" applyFill="1" applyAlignment="1">
      <alignment horizontal="center"/>
    </xf>
    <xf numFmtId="0" fontId="19" fillId="0" borderId="0" xfId="0" applyFont="1" applyFill="1"/>
    <xf numFmtId="180" fontId="19" fillId="0" borderId="0" xfId="0" applyNumberFormat="1" applyFont="1" applyFill="1"/>
    <xf numFmtId="179" fontId="12" fillId="0" borderId="0" xfId="0" applyNumberFormat="1" applyFont="1" applyFill="1" applyAlignment="1">
      <alignment horizontal="center"/>
    </xf>
    <xf numFmtId="180" fontId="12" fillId="0" borderId="0" xfId="0" applyNumberFormat="1" applyFont="1" applyFill="1"/>
    <xf numFmtId="172" fontId="19" fillId="0" borderId="0" xfId="1" applyNumberFormat="1" applyFont="1" applyFill="1" applyAlignment="1">
      <alignment horizontal="center"/>
    </xf>
    <xf numFmtId="172" fontId="19" fillId="0" borderId="0" xfId="1" applyNumberFormat="1" applyFont="1" applyFill="1"/>
    <xf numFmtId="0" fontId="41" fillId="0" borderId="0" xfId="0" applyFont="1" applyFill="1" applyAlignment="1">
      <alignment horizontal="center" vertical="center" wrapText="1"/>
    </xf>
    <xf numFmtId="0" fontId="61" fillId="0" borderId="0" xfId="0" applyFont="1" applyFill="1"/>
    <xf numFmtId="0" fontId="42"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Fill="1" applyAlignment="1">
      <alignment vertical="center"/>
    </xf>
    <xf numFmtId="0" fontId="62" fillId="0" borderId="49" xfId="0" applyFont="1" applyFill="1" applyBorder="1" applyAlignment="1">
      <alignment horizontal="center" vertical="center" wrapText="1"/>
    </xf>
    <xf numFmtId="0" fontId="62" fillId="0" borderId="49" xfId="0" applyFont="1" applyFill="1" applyBorder="1" applyAlignment="1">
      <alignment vertical="center" wrapText="1"/>
    </xf>
    <xf numFmtId="0" fontId="4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2" fillId="0" borderId="0" xfId="0" applyFont="1" applyFill="1" applyAlignment="1">
      <alignment horizontal="center"/>
    </xf>
    <xf numFmtId="0" fontId="62" fillId="0" borderId="49" xfId="0" applyFont="1" applyFill="1" applyBorder="1" applyAlignment="1">
      <alignment horizontal="center" vertical="center"/>
    </xf>
    <xf numFmtId="180" fontId="62" fillId="0" borderId="49" xfId="0" applyNumberFormat="1" applyFont="1" applyFill="1" applyBorder="1" applyAlignment="1">
      <alignment horizontal="center" vertical="center" wrapText="1"/>
    </xf>
    <xf numFmtId="0" fontId="62" fillId="0" borderId="11" xfId="0" applyFont="1" applyFill="1" applyBorder="1" applyAlignment="1">
      <alignment horizontal="center" vertical="center"/>
    </xf>
    <xf numFmtId="180" fontId="62" fillId="0" borderId="11" xfId="0" applyNumberFormat="1" applyFont="1" applyFill="1" applyBorder="1" applyAlignment="1">
      <alignment horizontal="center" vertical="center" wrapText="1"/>
    </xf>
    <xf numFmtId="0" fontId="62" fillId="0" borderId="1" xfId="0" applyFont="1" applyFill="1" applyBorder="1" applyAlignment="1">
      <alignment vertical="center" wrapText="1"/>
    </xf>
    <xf numFmtId="0" fontId="1" fillId="0" borderId="0" xfId="0" applyFont="1" applyFill="1" applyAlignment="1">
      <alignment vertical="center"/>
    </xf>
    <xf numFmtId="0" fontId="62" fillId="0" borderId="0" xfId="0" applyFont="1" applyFill="1" applyAlignment="1">
      <alignment horizontal="center" vertical="center"/>
    </xf>
    <xf numFmtId="0" fontId="55" fillId="0" borderId="49" xfId="0" applyFont="1" applyFill="1" applyBorder="1" applyAlignment="1">
      <alignment horizontal="center" vertical="center"/>
    </xf>
    <xf numFmtId="0" fontId="55" fillId="0" borderId="49" xfId="0" applyFont="1" applyFill="1" applyBorder="1" applyAlignment="1">
      <alignment horizontal="center" vertical="center" wrapText="1"/>
    </xf>
    <xf numFmtId="0" fontId="55" fillId="0" borderId="0" xfId="0" applyFont="1" applyFill="1" applyBorder="1" applyAlignment="1">
      <alignment horizontal="center" vertical="center"/>
    </xf>
    <xf numFmtId="0" fontId="55" fillId="0" borderId="0" xfId="0" applyFont="1" applyFill="1"/>
    <xf numFmtId="0" fontId="63" fillId="0" borderId="49" xfId="0" applyFont="1" applyFill="1" applyBorder="1" applyAlignment="1">
      <alignment horizontal="center"/>
    </xf>
    <xf numFmtId="0" fontId="63" fillId="0" borderId="49" xfId="0" applyFont="1" applyFill="1" applyBorder="1" applyAlignment="1"/>
    <xf numFmtId="2" fontId="63" fillId="0" borderId="49" xfId="0" applyNumberFormat="1" applyFont="1" applyFill="1" applyBorder="1" applyAlignment="1"/>
    <xf numFmtId="178" fontId="63" fillId="0" borderId="49" xfId="0" applyNumberFormat="1" applyFont="1" applyFill="1" applyBorder="1" applyAlignment="1"/>
    <xf numFmtId="180" fontId="63" fillId="0" borderId="49" xfId="0" applyNumberFormat="1" applyFont="1" applyFill="1" applyBorder="1" applyAlignment="1"/>
    <xf numFmtId="178" fontId="63" fillId="0" borderId="49" xfId="0" applyNumberFormat="1" applyFont="1" applyFill="1" applyBorder="1" applyAlignment="1">
      <alignment horizontal="right"/>
    </xf>
    <xf numFmtId="175" fontId="63" fillId="0" borderId="49" xfId="0" applyNumberFormat="1" applyFont="1" applyFill="1" applyBorder="1" applyAlignment="1"/>
    <xf numFmtId="3" fontId="63" fillId="0" borderId="49" xfId="0" applyNumberFormat="1" applyFont="1" applyFill="1" applyBorder="1" applyAlignment="1"/>
    <xf numFmtId="3" fontId="63" fillId="0" borderId="0" xfId="0" applyNumberFormat="1" applyFont="1" applyFill="1" applyBorder="1" applyAlignment="1"/>
    <xf numFmtId="3" fontId="4" fillId="0" borderId="0" xfId="0" applyNumberFormat="1" applyFont="1" applyFill="1" applyBorder="1" applyAlignment="1">
      <alignment vertical="center"/>
    </xf>
    <xf numFmtId="0" fontId="63" fillId="0" borderId="0" xfId="0" applyFont="1" applyFill="1" applyAlignment="1"/>
    <xf numFmtId="0" fontId="64" fillId="0" borderId="49" xfId="0" applyFont="1" applyFill="1" applyBorder="1" applyAlignment="1">
      <alignment horizontal="center"/>
    </xf>
    <xf numFmtId="0" fontId="12" fillId="0" borderId="49" xfId="0" applyFont="1" applyFill="1" applyBorder="1" applyAlignment="1">
      <alignment horizontal="center"/>
    </xf>
    <xf numFmtId="2" fontId="64" fillId="0" borderId="49" xfId="0" applyNumberFormat="1" applyFont="1" applyFill="1" applyBorder="1" applyAlignment="1">
      <alignment horizontal="right"/>
    </xf>
    <xf numFmtId="9" fontId="55" fillId="0" borderId="49" xfId="0" applyNumberFormat="1" applyFont="1" applyFill="1" applyBorder="1" applyAlignment="1">
      <alignment horizontal="center"/>
    </xf>
    <xf numFmtId="179" fontId="65" fillId="0" borderId="49" xfId="0" applyNumberFormat="1" applyFont="1" applyFill="1" applyBorder="1" applyAlignment="1"/>
    <xf numFmtId="9" fontId="64" fillId="0" borderId="49" xfId="0" applyNumberFormat="1" applyFont="1" applyFill="1" applyBorder="1" applyAlignment="1">
      <alignment horizontal="right"/>
    </xf>
    <xf numFmtId="180" fontId="55" fillId="0" borderId="49" xfId="0" applyNumberFormat="1" applyFont="1" applyFill="1" applyBorder="1" applyAlignment="1">
      <alignment horizontal="right"/>
    </xf>
    <xf numFmtId="180" fontId="64" fillId="0" borderId="49" xfId="0" applyNumberFormat="1" applyFont="1" applyFill="1" applyBorder="1" applyAlignment="1">
      <alignment horizontal="right"/>
    </xf>
    <xf numFmtId="1" fontId="55" fillId="3" borderId="49" xfId="0" applyNumberFormat="1" applyFont="1" applyFill="1" applyBorder="1" applyAlignment="1">
      <alignment horizontal="right"/>
    </xf>
    <xf numFmtId="1" fontId="55" fillId="0" borderId="49" xfId="0" applyNumberFormat="1" applyFont="1" applyFill="1" applyBorder="1" applyAlignment="1">
      <alignment horizontal="right"/>
    </xf>
    <xf numFmtId="172" fontId="55" fillId="0" borderId="49" xfId="1" applyNumberFormat="1" applyFont="1" applyFill="1" applyBorder="1" applyAlignment="1"/>
    <xf numFmtId="180" fontId="55" fillId="0" borderId="49" xfId="0" applyNumberFormat="1" applyFont="1" applyFill="1" applyBorder="1" applyAlignment="1"/>
    <xf numFmtId="3" fontId="55" fillId="0" borderId="49" xfId="0" applyNumberFormat="1" applyFont="1" applyFill="1" applyBorder="1" applyAlignment="1"/>
    <xf numFmtId="0" fontId="55" fillId="0" borderId="49" xfId="0" applyFont="1" applyFill="1" applyBorder="1" applyAlignment="1"/>
    <xf numFmtId="3" fontId="4" fillId="0" borderId="0" xfId="0" applyNumberFormat="1" applyFont="1" applyFill="1" applyBorder="1" applyAlignment="1"/>
    <xf numFmtId="0" fontId="17" fillId="0" borderId="0" xfId="0" applyFont="1" applyFill="1" applyAlignment="1"/>
    <xf numFmtId="0" fontId="55" fillId="0" borderId="0" xfId="0" applyFont="1" applyFill="1" applyAlignment="1"/>
    <xf numFmtId="2" fontId="56" fillId="0" borderId="49" xfId="0" applyNumberFormat="1" applyFont="1" applyFill="1" applyBorder="1" applyAlignment="1">
      <alignment horizontal="center"/>
    </xf>
    <xf numFmtId="180" fontId="56" fillId="0" borderId="49" xfId="0" applyNumberFormat="1" applyFont="1" applyFill="1" applyBorder="1" applyAlignment="1">
      <alignment horizontal="right"/>
    </xf>
    <xf numFmtId="2" fontId="56" fillId="0" borderId="49" xfId="0" applyNumberFormat="1" applyFont="1" applyFill="1" applyBorder="1" applyAlignment="1">
      <alignment horizontal="right"/>
    </xf>
    <xf numFmtId="180" fontId="56" fillId="0" borderId="49" xfId="0" applyNumberFormat="1" applyFont="1" applyFill="1" applyBorder="1" applyAlignment="1">
      <alignment horizontal="center"/>
    </xf>
    <xf numFmtId="0" fontId="19" fillId="0" borderId="0" xfId="0" applyFont="1" applyFill="1" applyBorder="1" applyAlignment="1">
      <alignment horizontal="center"/>
    </xf>
    <xf numFmtId="3" fontId="12" fillId="0" borderId="0" xfId="0" applyNumberFormat="1" applyFont="1" applyFill="1"/>
    <xf numFmtId="3" fontId="67" fillId="0" borderId="0" xfId="0" applyNumberFormat="1" applyFont="1" applyFill="1"/>
    <xf numFmtId="0" fontId="28" fillId="0" borderId="0" xfId="0" applyFont="1" applyFill="1"/>
    <xf numFmtId="3" fontId="28" fillId="0" borderId="0" xfId="0" applyNumberFormat="1" applyFont="1" applyFill="1"/>
    <xf numFmtId="0" fontId="10" fillId="0" borderId="0" xfId="0" applyFont="1" applyFill="1" applyBorder="1" applyAlignment="1">
      <alignment horizontal="center"/>
    </xf>
    <xf numFmtId="0" fontId="10" fillId="0" borderId="0" xfId="0" applyFont="1" applyFill="1"/>
    <xf numFmtId="180" fontId="10" fillId="0" borderId="0" xfId="0" applyNumberFormat="1" applyFont="1" applyFill="1"/>
    <xf numFmtId="172" fontId="10" fillId="0" borderId="0" xfId="1" applyNumberFormat="1" applyFont="1" applyFill="1"/>
    <xf numFmtId="0" fontId="66" fillId="0" borderId="0" xfId="0" applyFont="1" applyFill="1" applyAlignment="1"/>
    <xf numFmtId="0" fontId="13" fillId="0" borderId="0" xfId="0" applyFont="1" applyFill="1" applyBorder="1" applyAlignment="1">
      <alignment horizontal="center"/>
    </xf>
    <xf numFmtId="180" fontId="13" fillId="0" borderId="0" xfId="0" applyNumberFormat="1" applyFont="1" applyFill="1"/>
    <xf numFmtId="0" fontId="42" fillId="0" borderId="0" xfId="0" applyFont="1" applyFill="1"/>
    <xf numFmtId="172" fontId="13" fillId="0" borderId="0" xfId="1" applyNumberFormat="1" applyFont="1" applyFill="1" applyBorder="1"/>
    <xf numFmtId="0" fontId="13" fillId="0" borderId="0" xfId="0" applyFont="1" applyFill="1" applyAlignment="1"/>
    <xf numFmtId="0" fontId="28" fillId="0" borderId="0" xfId="0" applyFont="1" applyFill="1" applyAlignment="1">
      <alignment horizontal="center"/>
    </xf>
    <xf numFmtId="172" fontId="19" fillId="0" borderId="0" xfId="1" applyNumberFormat="1" applyFont="1" applyFill="1" applyBorder="1"/>
    <xf numFmtId="0" fontId="28" fillId="0" borderId="0" xfId="0" applyFont="1" applyFill="1" applyAlignment="1"/>
    <xf numFmtId="3" fontId="19" fillId="0" borderId="0" xfId="0" applyNumberFormat="1" applyFont="1" applyFill="1"/>
    <xf numFmtId="179" fontId="13" fillId="0" borderId="0" xfId="0" applyNumberFormat="1" applyFont="1" applyFill="1" applyAlignment="1">
      <alignment horizontal="center"/>
    </xf>
    <xf numFmtId="179" fontId="42" fillId="0" borderId="0" xfId="0" applyNumberFormat="1" applyFont="1" applyFill="1" applyAlignment="1">
      <alignment horizontal="center"/>
    </xf>
    <xf numFmtId="180" fontId="42" fillId="0" borderId="0" xfId="0" applyNumberFormat="1" applyFont="1" applyFill="1"/>
    <xf numFmtId="172" fontId="13" fillId="0" borderId="0" xfId="1" applyNumberFormat="1" applyFont="1" applyFill="1" applyAlignment="1">
      <alignment horizontal="center"/>
    </xf>
    <xf numFmtId="0" fontId="39" fillId="0" borderId="0" xfId="0" applyFont="1" applyFill="1"/>
    <xf numFmtId="0" fontId="69" fillId="0" borderId="0" xfId="0" applyFont="1" applyFill="1"/>
    <xf numFmtId="0" fontId="3" fillId="0" borderId="0" xfId="0" applyFont="1" applyFill="1" applyBorder="1" applyAlignment="1"/>
    <xf numFmtId="180" fontId="64" fillId="0" borderId="49" xfId="0" applyNumberFormat="1" applyFont="1" applyFill="1" applyBorder="1" applyAlignment="1">
      <alignment horizontal="center"/>
    </xf>
    <xf numFmtId="172" fontId="55" fillId="0" borderId="49" xfId="1" applyNumberFormat="1" applyFont="1" applyFill="1" applyBorder="1" applyAlignment="1">
      <alignment horizontal="right"/>
    </xf>
    <xf numFmtId="175" fontId="56" fillId="0" borderId="49" xfId="0" applyNumberFormat="1" applyFont="1" applyFill="1" applyBorder="1" applyAlignment="1">
      <alignment horizontal="center"/>
    </xf>
    <xf numFmtId="175" fontId="56" fillId="0" borderId="49" xfId="0" applyNumberFormat="1" applyFont="1" applyFill="1" applyBorder="1" applyAlignment="1">
      <alignment horizontal="right"/>
    </xf>
    <xf numFmtId="175" fontId="65" fillId="0" borderId="49" xfId="0" quotePrefix="1" applyNumberFormat="1" applyFont="1" applyFill="1" applyBorder="1" applyAlignment="1"/>
    <xf numFmtId="180" fontId="55" fillId="3" borderId="49" xfId="0" applyNumberFormat="1" applyFont="1" applyFill="1" applyBorder="1" applyAlignment="1">
      <alignment horizontal="right"/>
    </xf>
    <xf numFmtId="178" fontId="64" fillId="3" borderId="49" xfId="0" applyNumberFormat="1" applyFont="1" applyFill="1" applyBorder="1" applyAlignment="1">
      <alignment horizontal="right"/>
    </xf>
    <xf numFmtId="4" fontId="12" fillId="0" borderId="49" xfId="0" applyNumberFormat="1" applyFont="1" applyFill="1" applyBorder="1" applyAlignment="1">
      <alignment horizontal="center"/>
    </xf>
    <xf numFmtId="4" fontId="64" fillId="0" borderId="49" xfId="0" applyNumberFormat="1" applyFont="1" applyFill="1" applyBorder="1" applyAlignment="1">
      <alignment horizontal="right"/>
    </xf>
    <xf numFmtId="178" fontId="64" fillId="3" borderId="49" xfId="0" applyNumberFormat="1" applyFont="1" applyFill="1" applyBorder="1" applyAlignment="1">
      <alignment horizontal="center"/>
    </xf>
    <xf numFmtId="179" fontId="65" fillId="0" borderId="49" xfId="0" quotePrefix="1" applyNumberFormat="1" applyFont="1" applyFill="1" applyBorder="1" applyAlignment="1"/>
    <xf numFmtId="175" fontId="65" fillId="0" borderId="49" xfId="0" applyNumberFormat="1" applyFont="1" applyFill="1" applyBorder="1" applyAlignment="1"/>
    <xf numFmtId="3" fontId="55" fillId="0" borderId="49" xfId="0" applyNumberFormat="1" applyFont="1" applyFill="1" applyBorder="1" applyAlignment="1">
      <alignment horizontal="right"/>
    </xf>
    <xf numFmtId="3" fontId="17" fillId="0" borderId="0" xfId="0" applyNumberFormat="1" applyFont="1" applyFill="1" applyAlignment="1"/>
    <xf numFmtId="178" fontId="64" fillId="0" borderId="49" xfId="0" applyNumberFormat="1" applyFont="1" applyFill="1" applyBorder="1" applyAlignment="1">
      <alignment horizontal="right"/>
    </xf>
    <xf numFmtId="178" fontId="64" fillId="0" borderId="49" xfId="0" applyNumberFormat="1" applyFont="1" applyFill="1" applyBorder="1" applyAlignment="1">
      <alignment horizontal="center"/>
    </xf>
    <xf numFmtId="178" fontId="56" fillId="0" borderId="49" xfId="0" applyNumberFormat="1" applyFont="1" applyFill="1" applyBorder="1" applyAlignment="1">
      <alignment horizontal="right"/>
    </xf>
    <xf numFmtId="4" fontId="56" fillId="0" borderId="49" xfId="0" applyNumberFormat="1" applyFont="1" applyFill="1" applyBorder="1" applyAlignment="1">
      <alignment horizontal="center"/>
    </xf>
    <xf numFmtId="169" fontId="4" fillId="0" borderId="49" xfId="0" applyNumberFormat="1" applyFont="1" applyFill="1" applyBorder="1" applyAlignment="1">
      <alignment horizontal="right"/>
    </xf>
    <xf numFmtId="0" fontId="5" fillId="0" borderId="0" xfId="0" applyFont="1" applyFill="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quotePrefix="1" applyFont="1" applyFill="1" applyBorder="1" applyAlignment="1">
      <alignment horizontal="center" vertical="center"/>
    </xf>
    <xf numFmtId="3" fontId="4" fillId="0" borderId="2" xfId="0" applyNumberFormat="1" applyFont="1" applyFill="1" applyBorder="1" applyAlignment="1">
      <alignment horizontal="center" vertical="center" wrapText="1"/>
    </xf>
    <xf numFmtId="3" fontId="13" fillId="0" borderId="0" xfId="9" applyNumberFormat="1" applyFont="1" applyFill="1" applyAlignment="1">
      <alignment horizontal="center"/>
    </xf>
    <xf numFmtId="3" fontId="28" fillId="0" borderId="0" xfId="9" applyNumberFormat="1" applyFont="1" applyFill="1" applyAlignment="1">
      <alignment horizontal="center"/>
    </xf>
    <xf numFmtId="0" fontId="42" fillId="0" borderId="0" xfId="0" applyFont="1" applyFill="1" applyAlignment="1">
      <alignment horizontal="center"/>
    </xf>
    <xf numFmtId="0" fontId="3"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0" xfId="0" applyFont="1" applyFill="1" applyAlignment="1">
      <alignment horizontal="center" wrapText="1"/>
    </xf>
    <xf numFmtId="0" fontId="3" fillId="0" borderId="0" xfId="0" applyFont="1" applyFill="1" applyBorder="1" applyAlignment="1">
      <alignment horizontal="center" vertical="center"/>
    </xf>
    <xf numFmtId="0" fontId="3" fillId="0" borderId="48" xfId="0" quotePrefix="1" applyFont="1" applyFill="1" applyBorder="1" applyAlignment="1">
      <alignment horizontal="right"/>
    </xf>
    <xf numFmtId="0" fontId="16" fillId="0" borderId="49" xfId="0" applyFont="1" applyBorder="1"/>
    <xf numFmtId="0" fontId="13" fillId="0" borderId="0" xfId="0" applyFont="1" applyAlignment="1">
      <alignment horizontal="center"/>
    </xf>
    <xf numFmtId="3" fontId="13" fillId="0" borderId="0" xfId="0" applyNumberFormat="1" applyFont="1" applyAlignment="1">
      <alignment horizontal="center"/>
    </xf>
    <xf numFmtId="0" fontId="8" fillId="0" borderId="0" xfId="0" applyFont="1" applyAlignment="1">
      <alignment horizontal="left"/>
    </xf>
    <xf numFmtId="0" fontId="29" fillId="0" borderId="0" xfId="0" applyFont="1" applyAlignment="1">
      <alignment horizontal="center"/>
    </xf>
    <xf numFmtId="0" fontId="8" fillId="0" borderId="0" xfId="0" applyFont="1" applyAlignment="1">
      <alignment horizontal="center"/>
    </xf>
    <xf numFmtId="0" fontId="10" fillId="0" borderId="0" xfId="0" applyFont="1" applyAlignment="1">
      <alignment horizontal="left"/>
    </xf>
    <xf numFmtId="0" fontId="31" fillId="0" borderId="0" xfId="0" applyFont="1" applyAlignment="1">
      <alignment horizontal="center"/>
    </xf>
    <xf numFmtId="0" fontId="9" fillId="0" borderId="0" xfId="0" applyFont="1" applyAlignment="1">
      <alignment horizontal="left" wrapText="1"/>
    </xf>
    <xf numFmtId="3" fontId="28" fillId="0" borderId="0" xfId="0" applyNumberFormat="1" applyFont="1" applyAlignment="1">
      <alignment horizontal="center"/>
    </xf>
    <xf numFmtId="0" fontId="9" fillId="0" borderId="19" xfId="0" applyFont="1" applyBorder="1" applyAlignment="1">
      <alignment horizontal="center"/>
    </xf>
    <xf numFmtId="0" fontId="8" fillId="2" borderId="0" xfId="0" applyFont="1" applyFill="1" applyBorder="1" applyAlignment="1">
      <alignment horizontal="left"/>
    </xf>
    <xf numFmtId="0" fontId="8" fillId="0" borderId="0" xfId="0" applyFont="1" applyBorder="1" applyAlignment="1">
      <alignment horizontal="center"/>
    </xf>
    <xf numFmtId="0" fontId="6" fillId="3" borderId="28" xfId="0" applyFont="1" applyFill="1" applyBorder="1" applyAlignment="1">
      <alignment horizontal="center" wrapText="1"/>
    </xf>
    <xf numFmtId="0" fontId="6" fillId="3" borderId="28" xfId="0" applyFont="1" applyFill="1" applyBorder="1" applyAlignment="1">
      <alignment horizontal="center"/>
    </xf>
    <xf numFmtId="0" fontId="6" fillId="0" borderId="0" xfId="0" applyFont="1" applyFill="1" applyAlignment="1">
      <alignment horizontal="left" wrapText="1"/>
    </xf>
    <xf numFmtId="3" fontId="4" fillId="0" borderId="2" xfId="0" applyNumberFormat="1"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5" fillId="0" borderId="0" xfId="0" applyFont="1" applyFill="1" applyAlignment="1">
      <alignment horizontal="center"/>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25" fillId="0" borderId="36" xfId="0" applyFont="1" applyFill="1" applyBorder="1" applyAlignment="1">
      <alignment horizontal="left" wrapText="1"/>
    </xf>
    <xf numFmtId="0" fontId="25" fillId="0" borderId="37" xfId="0" applyFont="1" applyFill="1" applyBorder="1" applyAlignment="1">
      <alignment horizontal="left" wrapText="1"/>
    </xf>
    <xf numFmtId="0" fontId="25" fillId="0" borderId="38" xfId="0" applyFont="1" applyFill="1" applyBorder="1" applyAlignment="1">
      <alignment horizontal="left" wrapText="1"/>
    </xf>
    <xf numFmtId="0" fontId="23" fillId="0" borderId="0" xfId="0" applyFont="1" applyFill="1" applyAlignment="1">
      <alignment horizontal="center"/>
    </xf>
    <xf numFmtId="0" fontId="4" fillId="0" borderId="41" xfId="0" quotePrefix="1" applyFont="1" applyFill="1" applyBorder="1" applyAlignment="1">
      <alignment horizontal="center" vertical="center"/>
    </xf>
    <xf numFmtId="0" fontId="4" fillId="0" borderId="42" xfId="0" quotePrefix="1" applyFont="1" applyFill="1" applyBorder="1" applyAlignment="1">
      <alignment horizontal="center" vertical="center"/>
    </xf>
    <xf numFmtId="0" fontId="9" fillId="0" borderId="0" xfId="0" applyFont="1" applyFill="1" applyAlignment="1">
      <alignment horizontal="center"/>
    </xf>
    <xf numFmtId="0" fontId="33" fillId="0" borderId="0" xfId="0" applyFont="1" applyFill="1" applyAlignment="1">
      <alignment horizontal="center"/>
    </xf>
    <xf numFmtId="0" fontId="25" fillId="0" borderId="0" xfId="0" applyFont="1" applyFill="1" applyAlignment="1">
      <alignment horizontal="left"/>
    </xf>
    <xf numFmtId="0" fontId="4" fillId="0" borderId="2" xfId="0" applyFont="1" applyFill="1" applyBorder="1" applyAlignment="1">
      <alignment horizontal="center" vertical="center" wrapText="1"/>
    </xf>
    <xf numFmtId="0" fontId="4" fillId="0" borderId="23" xfId="0" quotePrefix="1" applyFont="1" applyFill="1" applyBorder="1" applyAlignment="1">
      <alignment horizontal="center" vertical="center"/>
    </xf>
    <xf numFmtId="0" fontId="4" fillId="0" borderId="27" xfId="0" quotePrefix="1" applyFont="1" applyFill="1" applyBorder="1" applyAlignment="1">
      <alignment horizontal="center" vertical="center"/>
    </xf>
    <xf numFmtId="0" fontId="25" fillId="0" borderId="0" xfId="0" applyFont="1" applyFill="1" applyBorder="1" applyAlignment="1">
      <alignment horizontal="left"/>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3" fillId="0" borderId="0" xfId="0" applyFont="1" applyFill="1" applyAlignment="1">
      <alignment horizontal="center"/>
    </xf>
    <xf numFmtId="0" fontId="34" fillId="0" borderId="0" xfId="0" applyFont="1" applyFill="1" applyAlignment="1">
      <alignment horizontal="center"/>
    </xf>
    <xf numFmtId="0" fontId="25" fillId="0" borderId="23"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24" fillId="0" borderId="0" xfId="5" applyFont="1" applyFill="1" applyAlignment="1">
      <alignment horizontal="center" wrapText="1"/>
    </xf>
    <xf numFmtId="0" fontId="25" fillId="0" borderId="0" xfId="0" applyFont="1" applyFill="1" applyAlignment="1">
      <alignment horizontal="center" vertical="center"/>
    </xf>
    <xf numFmtId="0" fontId="25" fillId="0" borderId="0" xfId="0" applyFont="1" applyFill="1" applyAlignment="1">
      <alignment horizontal="left" vertical="center"/>
    </xf>
    <xf numFmtId="0" fontId="5"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9" xfId="0" applyFont="1" applyFill="1" applyBorder="1" applyAlignment="1">
      <alignment horizontal="center" vertical="center" wrapText="1"/>
    </xf>
    <xf numFmtId="3" fontId="46" fillId="0" borderId="0" xfId="0" applyNumberFormat="1" applyFont="1" applyFill="1" applyBorder="1" applyAlignment="1">
      <alignment horizontal="center"/>
    </xf>
    <xf numFmtId="0" fontId="24" fillId="0" borderId="32" xfId="0" applyFont="1" applyFill="1" applyBorder="1" applyAlignment="1">
      <alignment horizontal="left" vertical="center" wrapText="1"/>
    </xf>
    <xf numFmtId="0" fontId="24" fillId="0" borderId="33"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9" fillId="0" borderId="0" xfId="0" applyFont="1" applyFill="1" applyBorder="1" applyAlignment="1">
      <alignment horizontal="right" vertical="center" wrapText="1"/>
    </xf>
    <xf numFmtId="0" fontId="41" fillId="0" borderId="0" xfId="0" applyFont="1" applyFill="1" applyAlignment="1">
      <alignment horizontal="center"/>
    </xf>
    <xf numFmtId="0" fontId="42" fillId="0" borderId="0" xfId="0" applyFont="1" applyFill="1" applyAlignment="1">
      <alignment horizontal="center"/>
    </xf>
    <xf numFmtId="0" fontId="42" fillId="0" borderId="14" xfId="0" applyFont="1" applyFill="1" applyBorder="1" applyAlignment="1">
      <alignment horizontal="center"/>
    </xf>
    <xf numFmtId="0" fontId="42" fillId="0" borderId="15" xfId="0" applyFont="1" applyFill="1" applyBorder="1" applyAlignment="1">
      <alignment horizontal="center"/>
    </xf>
    <xf numFmtId="0" fontId="46" fillId="0" borderId="0" xfId="0" applyFont="1" applyFill="1" applyAlignment="1">
      <alignment horizontal="center"/>
    </xf>
    <xf numFmtId="3" fontId="55" fillId="0" borderId="0" xfId="0" applyNumberFormat="1" applyFont="1" applyFill="1" applyBorder="1" applyAlignment="1">
      <alignment horizontal="center"/>
    </xf>
    <xf numFmtId="0" fontId="38" fillId="0" borderId="0" xfId="0" applyFont="1" applyFill="1" applyAlignment="1">
      <alignment horizontal="left"/>
    </xf>
    <xf numFmtId="0" fontId="5" fillId="0" borderId="0" xfId="0" applyFont="1" applyFill="1" applyAlignment="1">
      <alignment horizont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wrapText="1"/>
    </xf>
    <xf numFmtId="4" fontId="4" fillId="0" borderId="12"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xf>
    <xf numFmtId="4" fontId="4" fillId="0" borderId="3"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0" fillId="0" borderId="3"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3" fontId="3" fillId="0" borderId="8" xfId="0" applyNumberFormat="1" applyFont="1" applyFill="1" applyBorder="1" applyAlignment="1">
      <alignment horizontal="center" vertical="center"/>
    </xf>
    <xf numFmtId="3" fontId="3" fillId="0" borderId="5" xfId="0" applyNumberFormat="1" applyFont="1" applyFill="1" applyBorder="1" applyAlignment="1">
      <alignment horizontal="center" vertical="center"/>
    </xf>
    <xf numFmtId="0" fontId="53" fillId="0" borderId="0" xfId="0" applyFont="1" applyFill="1" applyAlignment="1">
      <alignment horizontal="center"/>
    </xf>
    <xf numFmtId="0" fontId="13" fillId="0" borderId="0" xfId="0" applyFont="1" applyFill="1" applyAlignment="1">
      <alignment horizontal="center" wrapText="1"/>
    </xf>
    <xf numFmtId="0" fontId="4" fillId="0" borderId="8" xfId="0" applyFont="1" applyFill="1" applyBorder="1" applyAlignment="1">
      <alignment horizontal="center"/>
    </xf>
    <xf numFmtId="0" fontId="4" fillId="0" borderId="5" xfId="0" applyFont="1" applyFill="1" applyBorder="1" applyAlignment="1">
      <alignment horizontal="center"/>
    </xf>
    <xf numFmtId="0" fontId="23" fillId="0" borderId="0" xfId="0" applyFont="1" applyFill="1" applyBorder="1" applyAlignment="1">
      <alignment horizontal="left"/>
    </xf>
    <xf numFmtId="3" fontId="13" fillId="0" borderId="0" xfId="9" applyNumberFormat="1" applyFont="1" applyFill="1" applyAlignment="1">
      <alignment horizont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3" fontId="28" fillId="0" borderId="0" xfId="9" applyNumberFormat="1" applyFont="1" applyFill="1" applyAlignment="1">
      <alignment horizontal="center"/>
    </xf>
    <xf numFmtId="0" fontId="4" fillId="0" borderId="2" xfId="0" applyFont="1" applyFill="1" applyBorder="1" applyAlignment="1">
      <alignment horizontal="center" vertical="center"/>
    </xf>
    <xf numFmtId="0" fontId="13" fillId="0" borderId="0" xfId="0" applyFont="1" applyFill="1" applyAlignment="1">
      <alignment horizontal="left"/>
    </xf>
    <xf numFmtId="0" fontId="60" fillId="0" borderId="0" xfId="0" applyFont="1" applyFill="1" applyAlignment="1">
      <alignment horizontal="left"/>
    </xf>
    <xf numFmtId="0" fontId="41" fillId="0" borderId="0" xfId="0" applyFont="1" applyFill="1" applyAlignment="1">
      <alignment horizontal="center" vertical="center" wrapText="1"/>
    </xf>
    <xf numFmtId="0" fontId="8" fillId="0" borderId="49" xfId="0" applyFont="1" applyFill="1" applyBorder="1" applyAlignment="1">
      <alignment horizontal="center" vertical="center" wrapText="1"/>
    </xf>
    <xf numFmtId="0" fontId="8" fillId="0" borderId="49" xfId="0" applyFont="1" applyFill="1" applyBorder="1" applyAlignment="1">
      <alignment horizontal="center" vertical="center"/>
    </xf>
    <xf numFmtId="0" fontId="42" fillId="0" borderId="49" xfId="0" applyFont="1" applyFill="1" applyBorder="1" applyAlignment="1">
      <alignment horizontal="center" vertical="center" wrapText="1"/>
    </xf>
    <xf numFmtId="0" fontId="62" fillId="0" borderId="47" xfId="0" applyFont="1" applyFill="1" applyBorder="1" applyAlignment="1">
      <alignment horizontal="center" vertical="center" wrapText="1"/>
    </xf>
    <xf numFmtId="0" fontId="62" fillId="0" borderId="48" xfId="0" applyFont="1" applyFill="1" applyBorder="1" applyAlignment="1">
      <alignment horizontal="center" vertical="center" wrapText="1"/>
    </xf>
    <xf numFmtId="0" fontId="62" fillId="0" borderId="42" xfId="0" applyFont="1" applyFill="1" applyBorder="1" applyAlignment="1">
      <alignment horizontal="center" vertical="center" wrapText="1"/>
    </xf>
    <xf numFmtId="0" fontId="62" fillId="0" borderId="16" xfId="0" applyFont="1" applyFill="1" applyBorder="1" applyAlignment="1">
      <alignment horizontal="center" vertical="center" wrapText="1"/>
    </xf>
    <xf numFmtId="0" fontId="62" fillId="0" borderId="17" xfId="0" applyFont="1" applyFill="1" applyBorder="1" applyAlignment="1">
      <alignment horizontal="center" vertical="center" wrapText="1"/>
    </xf>
    <xf numFmtId="0" fontId="62" fillId="0" borderId="18"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63" fillId="0" borderId="49" xfId="0" applyFont="1" applyFill="1" applyBorder="1" applyAlignment="1">
      <alignment horizontal="center" vertical="center"/>
    </xf>
    <xf numFmtId="0" fontId="62" fillId="0" borderId="49" xfId="0" applyFont="1" applyFill="1" applyBorder="1" applyAlignment="1">
      <alignment horizontal="center" vertical="center" wrapText="1"/>
    </xf>
    <xf numFmtId="0" fontId="62" fillId="0" borderId="49" xfId="0" applyFont="1" applyFill="1" applyBorder="1" applyAlignment="1">
      <alignment horizontal="center" vertical="center"/>
    </xf>
    <xf numFmtId="179" fontId="42" fillId="0" borderId="49" xfId="0" applyNumberFormat="1" applyFont="1" applyFill="1" applyBorder="1" applyAlignment="1">
      <alignment horizontal="center" vertical="center" wrapText="1"/>
    </xf>
    <xf numFmtId="3" fontId="42" fillId="0" borderId="49" xfId="0" applyNumberFormat="1" applyFont="1" applyFill="1" applyBorder="1" applyAlignment="1">
      <alignment horizontal="center" vertical="center" wrapText="1"/>
    </xf>
    <xf numFmtId="179" fontId="8" fillId="0" borderId="49" xfId="0" applyNumberFormat="1" applyFont="1" applyFill="1" applyBorder="1" applyAlignment="1">
      <alignment horizontal="center" vertical="center" wrapText="1"/>
    </xf>
    <xf numFmtId="179" fontId="62" fillId="0" borderId="49" xfId="0" applyNumberFormat="1" applyFont="1" applyFill="1" applyBorder="1" applyAlignment="1">
      <alignment horizontal="center" vertical="center" wrapText="1"/>
    </xf>
    <xf numFmtId="0" fontId="62" fillId="0" borderId="3" xfId="0" applyFont="1" applyFill="1" applyBorder="1" applyAlignment="1">
      <alignment horizontal="center" vertical="center" wrapText="1"/>
    </xf>
    <xf numFmtId="0" fontId="62" fillId="0" borderId="11" xfId="0" applyFont="1" applyFill="1" applyBorder="1" applyAlignment="1">
      <alignment horizontal="center" vertical="center" wrapText="1"/>
    </xf>
    <xf numFmtId="0" fontId="3" fillId="0" borderId="0" xfId="0" applyFont="1" applyFill="1" applyBorder="1" applyAlignment="1">
      <alignment horizontal="center" vertical="center"/>
    </xf>
    <xf numFmtId="0" fontId="55" fillId="0" borderId="49" xfId="0" applyFont="1" applyFill="1" applyBorder="1" applyAlignment="1">
      <alignment horizontal="center" vertical="center"/>
    </xf>
    <xf numFmtId="0" fontId="63" fillId="0" borderId="49" xfId="0" applyFont="1" applyFill="1" applyBorder="1" applyAlignment="1">
      <alignment horizontal="center"/>
    </xf>
    <xf numFmtId="0" fontId="66" fillId="0" borderId="0" xfId="0" applyFont="1" applyFill="1" applyAlignment="1">
      <alignment horizontal="left"/>
    </xf>
    <xf numFmtId="0" fontId="8" fillId="0" borderId="0" xfId="0" applyFont="1" applyFill="1" applyAlignment="1">
      <alignment horizontal="center"/>
    </xf>
    <xf numFmtId="0" fontId="55" fillId="0" borderId="47" xfId="0" applyFont="1" applyFill="1" applyBorder="1" applyAlignment="1">
      <alignment horizontal="center" vertical="center"/>
    </xf>
    <xf numFmtId="0" fontId="55" fillId="0" borderId="42" xfId="0" applyFont="1" applyFill="1" applyBorder="1" applyAlignment="1">
      <alignment horizontal="center" vertical="center"/>
    </xf>
    <xf numFmtId="0" fontId="68" fillId="0" borderId="0" xfId="0" applyFont="1" applyFill="1" applyAlignment="1">
      <alignment horizontal="center"/>
    </xf>
    <xf numFmtId="0" fontId="28" fillId="0" borderId="0" xfId="0" applyFont="1" applyFill="1" applyAlignment="1">
      <alignment horizont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2"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2" xfId="0" applyFont="1" applyFill="1" applyBorder="1" applyAlignment="1">
      <alignment horizontal="center" vertical="center"/>
    </xf>
    <xf numFmtId="3" fontId="3" fillId="0" borderId="47" xfId="0" applyNumberFormat="1" applyFont="1" applyFill="1" applyBorder="1" applyAlignment="1">
      <alignment horizontal="center" vertical="center"/>
    </xf>
    <xf numFmtId="3" fontId="3" fillId="0" borderId="42" xfId="0" applyNumberFormat="1" applyFont="1" applyFill="1" applyBorder="1" applyAlignment="1">
      <alignment horizontal="center" vertical="center"/>
    </xf>
    <xf numFmtId="0" fontId="4" fillId="0" borderId="49" xfId="0" applyFont="1" applyFill="1" applyBorder="1" applyAlignment="1">
      <alignment horizontal="center" vertical="center"/>
    </xf>
    <xf numFmtId="0" fontId="4" fillId="0" borderId="47" xfId="0" applyFont="1" applyFill="1" applyBorder="1" applyAlignment="1">
      <alignment horizontal="center"/>
    </xf>
    <xf numFmtId="0" fontId="4" fillId="0" borderId="42" xfId="0" applyFont="1" applyFill="1" applyBorder="1" applyAlignment="1">
      <alignment horizont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42" xfId="0" applyFont="1" applyFill="1" applyBorder="1" applyAlignment="1">
      <alignment horizontal="left" vertical="center" wrapText="1"/>
    </xf>
  </cellXfs>
  <cellStyles count="11">
    <cellStyle name="Comma" xfId="1" builtinId="3"/>
    <cellStyle name="Comma [0]" xfId="2" builtinId="6"/>
    <cellStyle name="Heading" xfId="3"/>
    <cellStyle name="Heading1" xfId="4"/>
    <cellStyle name="Normal" xfId="0" builtinId="0" customBuiltin="1"/>
    <cellStyle name="Normal 2" xfId="9"/>
    <cellStyle name="Normal 3" xfId="10"/>
    <cellStyle name="Normal_Bảng thanh toán cho đối tượng thụ hưởng" xfId="5"/>
    <cellStyle name="Percent" xfId="6" builtinId="5"/>
    <cellStyle name="Result" xfId="7"/>
    <cellStyle name="Result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533400</xdr:colOff>
      <xdr:row>3</xdr:row>
      <xdr:rowOff>38100</xdr:rowOff>
    </xdr:from>
    <xdr:to>
      <xdr:col>7</xdr:col>
      <xdr:colOff>771525</xdr:colOff>
      <xdr:row>4</xdr:row>
      <xdr:rowOff>0</xdr:rowOff>
    </xdr:to>
    <xdr:sp macro="" textlink="">
      <xdr:nvSpPr>
        <xdr:cNvPr id="24844" name="Rectangle 76451"/>
        <xdr:cNvSpPr>
          <a:spLocks noChangeArrowheads="1"/>
        </xdr:cNvSpPr>
      </xdr:nvSpPr>
      <xdr:spPr bwMode="auto">
        <a:xfrm>
          <a:off x="6915150" y="752475"/>
          <a:ext cx="238125" cy="200025"/>
        </a:xfrm>
        <a:prstGeom prst="rect">
          <a:avLst/>
        </a:prstGeom>
        <a:solidFill>
          <a:srgbClr val="FFFFFF"/>
        </a:solidFill>
        <a:ln w="9525">
          <a:solidFill>
            <a:srgbClr val="000000"/>
          </a:solidFill>
          <a:miter lim="800000"/>
          <a:headEnd/>
          <a:tailEnd/>
        </a:ln>
      </xdr:spPr>
    </xdr:sp>
    <xdr:clientData/>
  </xdr:twoCellAnchor>
  <xdr:twoCellAnchor>
    <xdr:from>
      <xdr:col>3</xdr:col>
      <xdr:colOff>1706238</xdr:colOff>
      <xdr:row>3</xdr:row>
      <xdr:rowOff>30755</xdr:rowOff>
    </xdr:from>
    <xdr:to>
      <xdr:col>4</xdr:col>
      <xdr:colOff>253618</xdr:colOff>
      <xdr:row>3</xdr:row>
      <xdr:rowOff>211501</xdr:rowOff>
    </xdr:to>
    <xdr:sp macro="" textlink="">
      <xdr:nvSpPr>
        <xdr:cNvPr id="6" name="Rectangle 76451"/>
        <xdr:cNvSpPr>
          <a:spLocks noChangeArrowheads="1"/>
        </xdr:cNvSpPr>
      </xdr:nvSpPr>
      <xdr:spPr bwMode="auto">
        <a:xfrm>
          <a:off x="4363713" y="745130"/>
          <a:ext cx="271405" cy="180746"/>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luong-thang%2007%20LCB%202.340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luong-thang%2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UYỂN NH"/>
      <sheetName val="MẪU 09"/>
      <sheetName val="luong 7-2024"/>
      <sheetName val="tinh lai tlinh dung  "/>
      <sheetName val="truy lĩnh thầy ngọc "/>
      <sheetName val="t6"/>
      <sheetName val="t7muc cũ"/>
      <sheetName val="Sheet2"/>
    </sheetNames>
    <sheetDataSet>
      <sheetData sheetId="0"/>
      <sheetData sheetId="1"/>
      <sheetData sheetId="2"/>
      <sheetData sheetId="3">
        <row r="11">
          <cell r="AZ11">
            <v>141499</v>
          </cell>
        </row>
        <row r="111">
          <cell r="AZ111">
            <v>286220</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UYỂN NH"/>
      <sheetName val="MẪU 09"/>
      <sheetName val="luong 8-2024"/>
      <sheetName val="Sheet1"/>
      <sheetName val="T7"/>
    </sheetNames>
    <sheetDataSet>
      <sheetData sheetId="0" refreshError="1"/>
      <sheetData sheetId="1" refreshError="1"/>
      <sheetData sheetId="2" refreshError="1"/>
      <sheetData sheetId="3" refreshError="1"/>
      <sheetData sheetId="4">
        <row r="63">
          <cell r="AH63">
            <v>783146451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1"/>
  <sheetViews>
    <sheetView topLeftCell="A58" zoomScaleNormal="100" workbookViewId="0">
      <selection activeCell="F63" sqref="F63"/>
    </sheetView>
  </sheetViews>
  <sheetFormatPr defaultColWidth="8.109375" defaultRowHeight="18.75" x14ac:dyDescent="0.3"/>
  <cols>
    <col min="1" max="1" width="7" style="19" customWidth="1"/>
    <col min="2" max="2" width="22.109375" style="1" customWidth="1"/>
    <col min="3" max="3" width="21.77734375" style="3" customWidth="1"/>
    <col min="4" max="4" width="17" style="1" customWidth="1"/>
    <col min="5" max="5" width="14.5546875" style="1" customWidth="1"/>
    <col min="6" max="6" width="11.44140625" style="1" customWidth="1"/>
    <col min="7" max="8" width="12.44140625" style="1" customWidth="1"/>
    <col min="9" max="9" width="12.44140625" style="2" customWidth="1"/>
    <col min="10" max="13" width="12.44140625" style="1" customWidth="1"/>
    <col min="14" max="15" width="12.44140625" style="2" customWidth="1"/>
    <col min="16" max="43" width="12.44140625" style="1" customWidth="1"/>
    <col min="44" max="45" width="8.109375" style="1"/>
    <col min="46" max="46" width="13.109375" style="1" customWidth="1"/>
    <col min="47" max="47" width="11.109375" style="1" bestFit="1" customWidth="1"/>
    <col min="48" max="16384" width="8.109375" style="1"/>
  </cols>
  <sheetData>
    <row r="1" spans="1:15" ht="19.5" customHeight="1" x14ac:dyDescent="0.3">
      <c r="A1" s="643" t="s">
        <v>221</v>
      </c>
      <c r="B1" s="643"/>
      <c r="C1" s="643"/>
      <c r="D1" s="643"/>
      <c r="E1" s="643"/>
      <c r="F1" s="643"/>
      <c r="I1" s="1"/>
      <c r="N1" s="1"/>
      <c r="O1" s="1"/>
    </row>
    <row r="2" spans="1:15" x14ac:dyDescent="0.3">
      <c r="A2" s="646" t="s">
        <v>125</v>
      </c>
      <c r="B2" s="646"/>
      <c r="C2" s="646"/>
      <c r="D2" s="646"/>
      <c r="E2" s="646"/>
      <c r="F2" s="25"/>
      <c r="I2" s="1"/>
      <c r="N2" s="1"/>
      <c r="O2" s="1"/>
    </row>
    <row r="3" spans="1:15" s="4" customFormat="1" ht="15.75" x14ac:dyDescent="0.25">
      <c r="A3" s="646" t="s">
        <v>126</v>
      </c>
      <c r="B3" s="646"/>
      <c r="C3" s="646"/>
      <c r="D3" s="646"/>
      <c r="E3" s="646"/>
      <c r="F3" s="25"/>
    </row>
    <row r="4" spans="1:15" s="4" customFormat="1" ht="18.75" customHeight="1" x14ac:dyDescent="0.25">
      <c r="A4" s="646" t="s">
        <v>219</v>
      </c>
      <c r="B4" s="646"/>
      <c r="C4" s="646"/>
      <c r="D4" s="646"/>
      <c r="E4" s="646"/>
      <c r="F4" s="25"/>
    </row>
    <row r="5" spans="1:15" s="4" customFormat="1" ht="27.75" x14ac:dyDescent="0.4">
      <c r="A5" s="647" t="s">
        <v>449</v>
      </c>
      <c r="B5" s="647"/>
      <c r="C5" s="647"/>
      <c r="D5" s="647"/>
      <c r="E5" s="647"/>
      <c r="F5" s="647"/>
    </row>
    <row r="6" spans="1:15" s="4" customFormat="1" ht="36" customHeight="1" x14ac:dyDescent="0.2">
      <c r="A6" s="648" t="s">
        <v>321</v>
      </c>
      <c r="B6" s="648"/>
      <c r="C6" s="648"/>
      <c r="D6" s="648"/>
      <c r="E6" s="648"/>
      <c r="F6" s="648"/>
    </row>
    <row r="7" spans="1:15" s="4" customFormat="1" ht="19.5" customHeight="1" x14ac:dyDescent="0.2">
      <c r="A7" s="21"/>
      <c r="B7" s="21"/>
      <c r="C7" s="21"/>
      <c r="D7" s="22"/>
      <c r="E7" s="650" t="s">
        <v>281</v>
      </c>
      <c r="F7" s="650"/>
    </row>
    <row r="8" spans="1:15" s="4" customFormat="1" ht="45.75" customHeight="1" x14ac:dyDescent="0.2">
      <c r="A8" s="36" t="s">
        <v>127</v>
      </c>
      <c r="B8" s="36" t="s">
        <v>128</v>
      </c>
      <c r="C8" s="36" t="s">
        <v>129</v>
      </c>
      <c r="D8" s="36" t="s">
        <v>450</v>
      </c>
      <c r="E8" s="36" t="s">
        <v>130</v>
      </c>
      <c r="F8" s="36" t="s">
        <v>119</v>
      </c>
    </row>
    <row r="9" spans="1:15" s="4" customFormat="1" ht="19.5" customHeight="1" x14ac:dyDescent="0.25">
      <c r="A9" s="9">
        <v>1</v>
      </c>
      <c r="B9" s="109" t="s">
        <v>350</v>
      </c>
      <c r="C9" s="276" t="s">
        <v>359</v>
      </c>
      <c r="D9" s="6">
        <f>'MẪU 09'!F16</f>
        <v>23477791</v>
      </c>
      <c r="E9" s="10">
        <f>D9</f>
        <v>23477791</v>
      </c>
      <c r="F9" s="11"/>
    </row>
    <row r="10" spans="1:15" x14ac:dyDescent="0.3">
      <c r="A10" s="9">
        <v>2</v>
      </c>
      <c r="B10" s="7" t="s">
        <v>89</v>
      </c>
      <c r="C10" s="26" t="s">
        <v>232</v>
      </c>
      <c r="D10" s="6">
        <f>'MẪU 09'!F17</f>
        <v>17339072</v>
      </c>
      <c r="E10" s="10">
        <f t="shared" ref="E10:E62" si="0">D10</f>
        <v>17339072</v>
      </c>
      <c r="F10" s="11"/>
      <c r="I10" s="1"/>
      <c r="N10" s="1"/>
      <c r="O10" s="1"/>
    </row>
    <row r="11" spans="1:15" x14ac:dyDescent="0.3">
      <c r="A11" s="9">
        <v>3</v>
      </c>
      <c r="B11" s="7" t="s">
        <v>24</v>
      </c>
      <c r="C11" s="27" t="s">
        <v>254</v>
      </c>
      <c r="D11" s="6">
        <f>'MẪU 09'!F18</f>
        <v>17375904</v>
      </c>
      <c r="E11" s="10">
        <f t="shared" si="0"/>
        <v>17375904</v>
      </c>
      <c r="F11" s="11"/>
      <c r="I11" s="1"/>
      <c r="N11" s="1"/>
      <c r="O11" s="1"/>
    </row>
    <row r="12" spans="1:15" x14ac:dyDescent="0.3">
      <c r="A12" s="9">
        <v>4</v>
      </c>
      <c r="B12" s="7" t="s">
        <v>14</v>
      </c>
      <c r="C12" s="26" t="s">
        <v>233</v>
      </c>
      <c r="D12" s="6">
        <f>'MẪU 09'!F19</f>
        <v>16986520</v>
      </c>
      <c r="E12" s="10">
        <f t="shared" si="0"/>
        <v>16986520</v>
      </c>
      <c r="F12" s="12"/>
      <c r="I12" s="1"/>
      <c r="N12" s="1"/>
      <c r="O12" s="1"/>
    </row>
    <row r="13" spans="1:15" x14ac:dyDescent="0.3">
      <c r="A13" s="9">
        <v>5</v>
      </c>
      <c r="B13" s="7" t="s">
        <v>15</v>
      </c>
      <c r="C13" s="30">
        <v>5606205371350</v>
      </c>
      <c r="D13" s="6">
        <f>'MẪU 09'!F20</f>
        <v>15423577</v>
      </c>
      <c r="E13" s="10">
        <f t="shared" si="0"/>
        <v>15423577</v>
      </c>
      <c r="F13" s="12"/>
      <c r="I13" s="1"/>
      <c r="N13" s="1"/>
      <c r="O13" s="1"/>
    </row>
    <row r="14" spans="1:15" x14ac:dyDescent="0.3">
      <c r="A14" s="9">
        <v>6</v>
      </c>
      <c r="B14" s="7" t="s">
        <v>16</v>
      </c>
      <c r="C14" s="30">
        <v>5606205370190</v>
      </c>
      <c r="D14" s="6">
        <f>'MẪU 09'!F21</f>
        <v>15306158</v>
      </c>
      <c r="E14" s="10">
        <f t="shared" si="0"/>
        <v>15306158</v>
      </c>
      <c r="F14" s="11"/>
      <c r="I14" s="1"/>
      <c r="N14" s="1"/>
      <c r="O14" s="1"/>
    </row>
    <row r="15" spans="1:15" x14ac:dyDescent="0.3">
      <c r="A15" s="9">
        <v>7</v>
      </c>
      <c r="B15" s="7" t="s">
        <v>17</v>
      </c>
      <c r="C15" s="30">
        <v>5606215000592</v>
      </c>
      <c r="D15" s="6">
        <f>'MẪU 09'!F22</f>
        <v>17228389</v>
      </c>
      <c r="E15" s="10">
        <f t="shared" si="0"/>
        <v>17228389</v>
      </c>
      <c r="F15" s="12"/>
      <c r="I15" s="1"/>
      <c r="N15" s="1"/>
      <c r="O15" s="1"/>
    </row>
    <row r="16" spans="1:15" x14ac:dyDescent="0.3">
      <c r="A16" s="9">
        <v>8</v>
      </c>
      <c r="B16" s="7" t="s">
        <v>12</v>
      </c>
      <c r="C16" s="30">
        <v>5606205074346</v>
      </c>
      <c r="D16" s="6">
        <f>'MẪU 09'!F23</f>
        <v>19552628</v>
      </c>
      <c r="E16" s="10">
        <f t="shared" si="0"/>
        <v>19552628</v>
      </c>
      <c r="F16" s="12"/>
      <c r="I16" s="1"/>
      <c r="N16" s="1"/>
      <c r="O16" s="1"/>
    </row>
    <row r="17" spans="1:15" x14ac:dyDescent="0.3">
      <c r="A17" s="9">
        <v>9</v>
      </c>
      <c r="B17" s="7" t="s">
        <v>18</v>
      </c>
      <c r="C17" s="30">
        <v>5606215000478</v>
      </c>
      <c r="D17" s="6">
        <f>'MẪU 09'!F24</f>
        <v>14497063</v>
      </c>
      <c r="E17" s="10">
        <f t="shared" si="0"/>
        <v>14497063</v>
      </c>
      <c r="F17" s="11"/>
      <c r="I17" s="1"/>
      <c r="N17" s="1"/>
      <c r="O17" s="1"/>
    </row>
    <row r="18" spans="1:15" x14ac:dyDescent="0.3">
      <c r="A18" s="9">
        <v>10</v>
      </c>
      <c r="B18" s="7" t="s">
        <v>25</v>
      </c>
      <c r="C18" s="30">
        <v>5606205371338</v>
      </c>
      <c r="D18" s="6">
        <f>'MẪU 09'!F25</f>
        <v>16020546</v>
      </c>
      <c r="E18" s="10">
        <f t="shared" si="0"/>
        <v>16020546</v>
      </c>
      <c r="F18" s="11"/>
      <c r="I18" s="1"/>
      <c r="N18" s="1"/>
      <c r="O18" s="1"/>
    </row>
    <row r="19" spans="1:15" x14ac:dyDescent="0.3">
      <c r="A19" s="9">
        <v>11</v>
      </c>
      <c r="B19" s="7" t="s">
        <v>93</v>
      </c>
      <c r="C19" s="30">
        <v>5606205371498</v>
      </c>
      <c r="D19" s="6">
        <f>'MẪU 09'!F26</f>
        <v>17518485</v>
      </c>
      <c r="E19" s="10">
        <f t="shared" si="0"/>
        <v>17518485</v>
      </c>
      <c r="F19" s="12"/>
      <c r="I19" s="1"/>
      <c r="N19" s="1"/>
      <c r="O19" s="1"/>
    </row>
    <row r="20" spans="1:15" x14ac:dyDescent="0.3">
      <c r="A20" s="9">
        <v>12</v>
      </c>
      <c r="B20" s="7" t="s">
        <v>19</v>
      </c>
      <c r="C20" s="29" t="s">
        <v>234</v>
      </c>
      <c r="D20" s="6">
        <f>'MẪU 09'!F27</f>
        <v>17805041</v>
      </c>
      <c r="E20" s="10">
        <f t="shared" si="0"/>
        <v>17805041</v>
      </c>
      <c r="F20" s="12"/>
      <c r="I20" s="1"/>
      <c r="N20" s="1"/>
      <c r="O20" s="1"/>
    </row>
    <row r="21" spans="1:15" x14ac:dyDescent="0.3">
      <c r="A21" s="9">
        <v>13</v>
      </c>
      <c r="B21" s="7" t="s">
        <v>20</v>
      </c>
      <c r="C21" s="30">
        <v>5606205072278</v>
      </c>
      <c r="D21" s="6">
        <f>'MẪU 09'!F28</f>
        <v>19662309</v>
      </c>
      <c r="E21" s="10">
        <f t="shared" si="0"/>
        <v>19662309</v>
      </c>
      <c r="F21" s="12"/>
      <c r="I21" s="1"/>
      <c r="N21" s="1"/>
      <c r="O21" s="1"/>
    </row>
    <row r="22" spans="1:15" x14ac:dyDescent="0.3">
      <c r="A22" s="9">
        <v>14</v>
      </c>
      <c r="B22" s="7" t="s">
        <v>21</v>
      </c>
      <c r="C22" s="30">
        <v>5606215004860</v>
      </c>
      <c r="D22" s="6">
        <f>'MẪU 09'!F29</f>
        <v>15735096</v>
      </c>
      <c r="E22" s="10">
        <f t="shared" si="0"/>
        <v>15735096</v>
      </c>
      <c r="F22" s="12"/>
      <c r="I22" s="1"/>
      <c r="N22" s="1"/>
      <c r="O22" s="1"/>
    </row>
    <row r="23" spans="1:15" x14ac:dyDescent="0.3">
      <c r="A23" s="9">
        <v>15</v>
      </c>
      <c r="B23" s="7" t="s">
        <v>26</v>
      </c>
      <c r="C23" s="30">
        <v>5606205370177</v>
      </c>
      <c r="D23" s="6">
        <f>'MẪU 09'!F30</f>
        <v>14267108</v>
      </c>
      <c r="E23" s="10">
        <f t="shared" si="0"/>
        <v>14267108</v>
      </c>
      <c r="F23" s="12"/>
      <c r="I23" s="1"/>
      <c r="N23" s="1"/>
      <c r="O23" s="1"/>
    </row>
    <row r="24" spans="1:15" s="16" customFormat="1" x14ac:dyDescent="0.3">
      <c r="A24" s="9">
        <v>16</v>
      </c>
      <c r="B24" s="7" t="s">
        <v>94</v>
      </c>
      <c r="C24" s="30">
        <v>5606205371344</v>
      </c>
      <c r="D24" s="6">
        <f>'MẪU 09'!F31</f>
        <v>14982797</v>
      </c>
      <c r="E24" s="10">
        <f t="shared" si="0"/>
        <v>14982797</v>
      </c>
      <c r="F24" s="11"/>
    </row>
    <row r="25" spans="1:15" x14ac:dyDescent="0.3">
      <c r="A25" s="9">
        <v>17</v>
      </c>
      <c r="B25" s="7" t="s">
        <v>88</v>
      </c>
      <c r="C25" s="30">
        <v>5606205370210</v>
      </c>
      <c r="D25" s="6">
        <f>'MẪU 09'!F32</f>
        <v>14420412</v>
      </c>
      <c r="E25" s="10">
        <f t="shared" si="0"/>
        <v>14420412</v>
      </c>
      <c r="F25" s="12"/>
      <c r="I25" s="1"/>
      <c r="N25" s="1"/>
      <c r="O25" s="1"/>
    </row>
    <row r="26" spans="1:15" x14ac:dyDescent="0.3">
      <c r="A26" s="9">
        <v>18</v>
      </c>
      <c r="B26" s="7" t="s">
        <v>10</v>
      </c>
      <c r="C26" s="26" t="s">
        <v>235</v>
      </c>
      <c r="D26" s="6">
        <f>'MẪU 09'!F33</f>
        <v>15360458</v>
      </c>
      <c r="E26" s="10">
        <f t="shared" si="0"/>
        <v>15360458</v>
      </c>
      <c r="F26" s="12"/>
      <c r="I26" s="1"/>
      <c r="N26" s="1"/>
      <c r="O26" s="1"/>
    </row>
    <row r="27" spans="1:15" x14ac:dyDescent="0.3">
      <c r="A27" s="9">
        <v>19</v>
      </c>
      <c r="B27" s="7" t="s">
        <v>95</v>
      </c>
      <c r="C27" s="26" t="s">
        <v>236</v>
      </c>
      <c r="D27" s="6">
        <f>'MẪU 09'!F34</f>
        <v>14982797</v>
      </c>
      <c r="E27" s="10">
        <f t="shared" si="0"/>
        <v>14982797</v>
      </c>
      <c r="F27" s="11"/>
      <c r="I27" s="1"/>
      <c r="N27" s="1"/>
      <c r="O27" s="1"/>
    </row>
    <row r="28" spans="1:15" x14ac:dyDescent="0.3">
      <c r="A28" s="9">
        <v>20</v>
      </c>
      <c r="B28" s="7" t="s">
        <v>22</v>
      </c>
      <c r="C28" s="30">
        <v>5606205371481</v>
      </c>
      <c r="D28" s="6">
        <f>'MẪU 09'!F35</f>
        <v>12877001</v>
      </c>
      <c r="E28" s="10">
        <f t="shared" si="0"/>
        <v>12877001</v>
      </c>
      <c r="F28" s="11"/>
      <c r="I28" s="1"/>
      <c r="N28" s="1"/>
      <c r="O28" s="1"/>
    </row>
    <row r="29" spans="1:15" x14ac:dyDescent="0.3">
      <c r="A29" s="9">
        <v>21</v>
      </c>
      <c r="B29" s="7" t="s">
        <v>3</v>
      </c>
      <c r="C29" s="27" t="s">
        <v>237</v>
      </c>
      <c r="D29" s="6">
        <f>'MẪU 09'!F36</f>
        <v>20185132</v>
      </c>
      <c r="E29" s="10">
        <f t="shared" si="0"/>
        <v>20185132</v>
      </c>
      <c r="F29" s="11"/>
      <c r="I29" s="1"/>
      <c r="N29" s="1"/>
      <c r="O29" s="1"/>
    </row>
    <row r="30" spans="1:15" x14ac:dyDescent="0.3">
      <c r="A30" s="9">
        <v>22</v>
      </c>
      <c r="B30" s="7" t="s">
        <v>67</v>
      </c>
      <c r="C30" s="27" t="s">
        <v>238</v>
      </c>
      <c r="D30" s="6">
        <f>'MẪU 09'!F37</f>
        <v>20500534</v>
      </c>
      <c r="E30" s="10">
        <f t="shared" si="0"/>
        <v>20500534</v>
      </c>
      <c r="F30" s="12"/>
      <c r="I30" s="1"/>
      <c r="N30" s="1"/>
      <c r="O30" s="1"/>
    </row>
    <row r="31" spans="1:15" x14ac:dyDescent="0.3">
      <c r="A31" s="9">
        <v>23</v>
      </c>
      <c r="B31" s="7" t="s">
        <v>4</v>
      </c>
      <c r="C31" s="26" t="s">
        <v>239</v>
      </c>
      <c r="D31" s="6">
        <f>'MẪU 09'!F38</f>
        <v>8699418</v>
      </c>
      <c r="E31" s="10">
        <f t="shared" si="0"/>
        <v>8699418</v>
      </c>
      <c r="F31" s="12"/>
      <c r="I31" s="1"/>
      <c r="N31" s="1"/>
      <c r="O31" s="1"/>
    </row>
    <row r="32" spans="1:15" x14ac:dyDescent="0.3">
      <c r="A32" s="9">
        <v>24</v>
      </c>
      <c r="B32" s="7" t="s">
        <v>7</v>
      </c>
      <c r="C32" s="26" t="s">
        <v>240</v>
      </c>
      <c r="D32" s="6">
        <f>'MẪU 09'!F39</f>
        <v>16070184</v>
      </c>
      <c r="E32" s="10">
        <f t="shared" si="0"/>
        <v>16070184</v>
      </c>
      <c r="F32" s="12"/>
      <c r="I32" s="1"/>
      <c r="N32" s="1"/>
      <c r="O32" s="1"/>
    </row>
    <row r="33" spans="1:15" x14ac:dyDescent="0.3">
      <c r="A33" s="9">
        <v>25</v>
      </c>
      <c r="B33" s="7" t="s">
        <v>8</v>
      </c>
      <c r="C33" s="29" t="s">
        <v>241</v>
      </c>
      <c r="D33" s="6">
        <f>'MẪU 09'!F40</f>
        <v>20710802</v>
      </c>
      <c r="E33" s="10">
        <f t="shared" si="0"/>
        <v>20710802</v>
      </c>
      <c r="F33" s="12"/>
      <c r="I33" s="1"/>
      <c r="N33" s="1"/>
      <c r="O33" s="1"/>
    </row>
    <row r="34" spans="1:15" x14ac:dyDescent="0.3">
      <c r="A34" s="9">
        <v>26</v>
      </c>
      <c r="B34" s="7" t="s">
        <v>116</v>
      </c>
      <c r="C34" s="27" t="s">
        <v>242</v>
      </c>
      <c r="D34" s="6">
        <f>'MẪU 09'!F41</f>
        <v>20395400</v>
      </c>
      <c r="E34" s="10">
        <f t="shared" si="0"/>
        <v>20395400</v>
      </c>
      <c r="F34" s="12"/>
      <c r="I34" s="1"/>
      <c r="N34" s="1"/>
      <c r="O34" s="1"/>
    </row>
    <row r="35" spans="1:15" x14ac:dyDescent="0.3">
      <c r="A35" s="9">
        <v>27</v>
      </c>
      <c r="B35" s="7" t="s">
        <v>11</v>
      </c>
      <c r="C35" s="26" t="s">
        <v>243</v>
      </c>
      <c r="D35" s="6">
        <f>'MẪU 09'!F42</f>
        <v>11465532</v>
      </c>
      <c r="E35" s="10">
        <f t="shared" si="0"/>
        <v>11465532</v>
      </c>
      <c r="F35" s="12"/>
      <c r="I35" s="1"/>
      <c r="N35" s="1"/>
      <c r="O35" s="1"/>
    </row>
    <row r="36" spans="1:15" x14ac:dyDescent="0.3">
      <c r="A36" s="9">
        <v>28</v>
      </c>
      <c r="B36" s="7" t="s">
        <v>27</v>
      </c>
      <c r="C36" s="26" t="s">
        <v>244</v>
      </c>
      <c r="D36" s="6">
        <f>'MẪU 09'!F43</f>
        <v>12877001</v>
      </c>
      <c r="E36" s="10">
        <f t="shared" si="0"/>
        <v>12877001</v>
      </c>
      <c r="F36" s="12"/>
      <c r="I36" s="1"/>
      <c r="N36" s="1"/>
      <c r="O36" s="1"/>
    </row>
    <row r="37" spans="1:15" x14ac:dyDescent="0.3">
      <c r="A37" s="9">
        <v>29</v>
      </c>
      <c r="B37" s="7" t="s">
        <v>77</v>
      </c>
      <c r="C37" s="30">
        <v>5606205371475</v>
      </c>
      <c r="D37" s="6">
        <f>'MẪU 09'!F44</f>
        <v>20710802</v>
      </c>
      <c r="E37" s="10">
        <f t="shared" si="0"/>
        <v>20710802</v>
      </c>
      <c r="F37" s="12"/>
      <c r="I37" s="1"/>
      <c r="N37" s="1"/>
      <c r="O37" s="1"/>
    </row>
    <row r="38" spans="1:15" x14ac:dyDescent="0.3">
      <c r="A38" s="9">
        <v>30</v>
      </c>
      <c r="B38" s="7" t="s">
        <v>71</v>
      </c>
      <c r="C38" s="29" t="s">
        <v>255</v>
      </c>
      <c r="D38" s="6">
        <f>'MẪU 09'!F45</f>
        <v>18897255</v>
      </c>
      <c r="E38" s="10">
        <f t="shared" si="0"/>
        <v>18897255</v>
      </c>
      <c r="F38" s="12"/>
      <c r="I38" s="1"/>
      <c r="N38" s="1"/>
      <c r="O38" s="1"/>
    </row>
    <row r="39" spans="1:15" x14ac:dyDescent="0.3">
      <c r="A39" s="9">
        <v>31</v>
      </c>
      <c r="B39" s="7" t="s">
        <v>72</v>
      </c>
      <c r="C39" s="30">
        <v>5606205370075</v>
      </c>
      <c r="D39" s="6">
        <f>'MẪU 09'!F46</f>
        <v>18083524</v>
      </c>
      <c r="E39" s="10">
        <f t="shared" si="0"/>
        <v>18083524</v>
      </c>
      <c r="F39" s="12"/>
      <c r="I39" s="1"/>
      <c r="N39" s="1"/>
      <c r="O39" s="1"/>
    </row>
    <row r="40" spans="1:15" x14ac:dyDescent="0.3">
      <c r="A40" s="9">
        <v>32</v>
      </c>
      <c r="B40" s="7" t="s">
        <v>12</v>
      </c>
      <c r="C40" s="29" t="s">
        <v>245</v>
      </c>
      <c r="D40" s="6">
        <f>'MẪU 09'!F47</f>
        <v>7334496</v>
      </c>
      <c r="E40" s="10">
        <f t="shared" si="0"/>
        <v>7334496</v>
      </c>
      <c r="F40" s="12"/>
      <c r="I40" s="1"/>
      <c r="N40" s="1"/>
      <c r="O40" s="1"/>
    </row>
    <row r="41" spans="1:15" x14ac:dyDescent="0.3">
      <c r="A41" s="9">
        <v>33</v>
      </c>
      <c r="B41" s="23" t="s">
        <v>96</v>
      </c>
      <c r="C41" s="29">
        <v>5606205441609</v>
      </c>
      <c r="D41" s="6">
        <f>'MẪU 09'!F48</f>
        <v>19450427</v>
      </c>
      <c r="E41" s="10">
        <f t="shared" si="0"/>
        <v>19450427</v>
      </c>
      <c r="F41" s="12"/>
      <c r="I41" s="1"/>
      <c r="N41" s="1"/>
      <c r="O41" s="1"/>
    </row>
    <row r="42" spans="1:15" x14ac:dyDescent="0.3">
      <c r="A42" s="9">
        <v>34</v>
      </c>
      <c r="B42" s="23" t="s">
        <v>98</v>
      </c>
      <c r="C42" s="29" t="s">
        <v>246</v>
      </c>
      <c r="D42" s="6">
        <f>'MẪU 09'!F49</f>
        <v>20833385</v>
      </c>
      <c r="E42" s="10">
        <f t="shared" si="0"/>
        <v>20833385</v>
      </c>
      <c r="F42" s="12"/>
      <c r="I42" s="1"/>
      <c r="N42" s="1"/>
      <c r="O42" s="1"/>
    </row>
    <row r="43" spans="1:15" x14ac:dyDescent="0.3">
      <c r="A43" s="9">
        <v>35</v>
      </c>
      <c r="B43" s="23" t="s">
        <v>100</v>
      </c>
      <c r="C43" s="28">
        <v>5606215000830</v>
      </c>
      <c r="D43" s="6">
        <f>'MẪU 09'!F50</f>
        <v>17518485</v>
      </c>
      <c r="E43" s="10">
        <f t="shared" si="0"/>
        <v>17518485</v>
      </c>
      <c r="F43" s="12"/>
      <c r="G43" s="653"/>
      <c r="I43" s="1"/>
      <c r="N43" s="1"/>
      <c r="O43" s="1"/>
    </row>
    <row r="44" spans="1:15" x14ac:dyDescent="0.3">
      <c r="A44" s="9">
        <v>36</v>
      </c>
      <c r="B44" s="18" t="s">
        <v>216</v>
      </c>
      <c r="C44" s="28">
        <v>5606215008139</v>
      </c>
      <c r="D44" s="6">
        <f>'MẪU 09'!F51</f>
        <v>14724083</v>
      </c>
      <c r="E44" s="10">
        <f t="shared" si="0"/>
        <v>14724083</v>
      </c>
      <c r="F44" s="12"/>
      <c r="G44" s="654"/>
      <c r="I44" s="1"/>
      <c r="N44" s="1"/>
      <c r="O44" s="1"/>
    </row>
    <row r="45" spans="1:15" x14ac:dyDescent="0.3">
      <c r="A45" s="9">
        <v>37</v>
      </c>
      <c r="B45" s="23" t="s">
        <v>102</v>
      </c>
      <c r="C45" s="29" t="s">
        <v>247</v>
      </c>
      <c r="D45" s="6">
        <f>'MẪU 09'!F52</f>
        <v>19869731</v>
      </c>
      <c r="E45" s="10">
        <f t="shared" si="0"/>
        <v>19869731</v>
      </c>
      <c r="F45" s="12"/>
      <c r="G45" s="654"/>
      <c r="I45" s="1"/>
      <c r="N45" s="1"/>
      <c r="O45" s="1"/>
    </row>
    <row r="46" spans="1:15" x14ac:dyDescent="0.3">
      <c r="A46" s="9">
        <v>38</v>
      </c>
      <c r="B46" s="23" t="s">
        <v>104</v>
      </c>
      <c r="C46" s="28">
        <v>5606215000817</v>
      </c>
      <c r="D46" s="6">
        <f>'MẪU 09'!F53</f>
        <v>16107460</v>
      </c>
      <c r="E46" s="10">
        <f t="shared" si="0"/>
        <v>16107460</v>
      </c>
      <c r="F46" s="12"/>
      <c r="G46" s="654"/>
      <c r="I46" s="1"/>
      <c r="N46" s="1"/>
      <c r="O46" s="1"/>
    </row>
    <row r="47" spans="1:15" x14ac:dyDescent="0.3">
      <c r="A47" s="9">
        <v>39</v>
      </c>
      <c r="B47" s="23" t="s">
        <v>107</v>
      </c>
      <c r="C47" s="28">
        <v>5606205370227</v>
      </c>
      <c r="D47" s="6">
        <f>'MẪU 09'!F54</f>
        <v>13550107</v>
      </c>
      <c r="E47" s="10">
        <f t="shared" si="0"/>
        <v>13550107</v>
      </c>
      <c r="F47" s="12"/>
      <c r="G47" s="654"/>
      <c r="I47" s="1"/>
      <c r="N47" s="1"/>
      <c r="O47" s="1"/>
    </row>
    <row r="48" spans="1:15" x14ac:dyDescent="0.3">
      <c r="A48" s="9">
        <v>40</v>
      </c>
      <c r="B48" s="23" t="s">
        <v>110</v>
      </c>
      <c r="C48" s="31" t="s">
        <v>248</v>
      </c>
      <c r="D48" s="6">
        <f>'MẪU 09'!F55</f>
        <v>12737521</v>
      </c>
      <c r="E48" s="10">
        <f t="shared" si="0"/>
        <v>12737521</v>
      </c>
      <c r="F48" s="12"/>
      <c r="I48" s="1"/>
      <c r="N48" s="1"/>
      <c r="O48" s="1"/>
    </row>
    <row r="49" spans="1:27" x14ac:dyDescent="0.3">
      <c r="A49" s="9">
        <v>41</v>
      </c>
      <c r="B49" s="23" t="s">
        <v>112</v>
      </c>
      <c r="C49" s="28">
        <v>5606205170748</v>
      </c>
      <c r="D49" s="6">
        <f>'MẪU 09'!F56</f>
        <v>3123900</v>
      </c>
      <c r="E49" s="10">
        <f t="shared" si="0"/>
        <v>3123900</v>
      </c>
      <c r="F49" s="12"/>
      <c r="I49" s="1"/>
      <c r="N49" s="1"/>
      <c r="O49" s="1"/>
    </row>
    <row r="50" spans="1:27" x14ac:dyDescent="0.3">
      <c r="A50" s="9">
        <v>42</v>
      </c>
      <c r="B50" s="23" t="s">
        <v>173</v>
      </c>
      <c r="C50" s="31" t="s">
        <v>249</v>
      </c>
      <c r="D50" s="6">
        <f>'MẪU 09'!F57</f>
        <v>9069138</v>
      </c>
      <c r="E50" s="10">
        <f t="shared" si="0"/>
        <v>9069138</v>
      </c>
      <c r="F50" s="12"/>
      <c r="I50" s="1"/>
      <c r="N50" s="1"/>
      <c r="O50" s="1"/>
    </row>
    <row r="51" spans="1:27" x14ac:dyDescent="0.3">
      <c r="A51" s="9">
        <v>43</v>
      </c>
      <c r="B51" s="23" t="s">
        <v>114</v>
      </c>
      <c r="C51" s="28">
        <v>5606215000852</v>
      </c>
      <c r="D51" s="6">
        <f>'MẪU 09'!F58</f>
        <v>9394983</v>
      </c>
      <c r="E51" s="10">
        <f t="shared" si="0"/>
        <v>9394983</v>
      </c>
      <c r="F51" s="12"/>
      <c r="I51" s="1"/>
      <c r="N51" s="1"/>
      <c r="O51" s="1"/>
    </row>
    <row r="52" spans="1:27" x14ac:dyDescent="0.3">
      <c r="A52" s="9">
        <v>44</v>
      </c>
      <c r="B52" s="23" t="s">
        <v>222</v>
      </c>
      <c r="C52" s="32" t="s">
        <v>224</v>
      </c>
      <c r="D52" s="6">
        <f>'MẪU 09'!F59</f>
        <v>11339874</v>
      </c>
      <c r="E52" s="10">
        <f t="shared" si="0"/>
        <v>11339874</v>
      </c>
      <c r="F52" s="12"/>
      <c r="I52" s="1"/>
      <c r="N52" s="1"/>
      <c r="O52" s="1"/>
    </row>
    <row r="53" spans="1:27" x14ac:dyDescent="0.3">
      <c r="A53" s="9">
        <v>45</v>
      </c>
      <c r="B53" s="17" t="s">
        <v>282</v>
      </c>
      <c r="C53" s="43" t="s">
        <v>288</v>
      </c>
      <c r="D53" s="6">
        <f>'MẪU 09'!F60</f>
        <v>17443146</v>
      </c>
      <c r="E53" s="10">
        <f t="shared" si="0"/>
        <v>17443146</v>
      </c>
      <c r="F53" s="44"/>
      <c r="I53" s="1"/>
      <c r="N53" s="1"/>
      <c r="O53" s="1"/>
    </row>
    <row r="54" spans="1:27" x14ac:dyDescent="0.3">
      <c r="A54" s="9">
        <v>46</v>
      </c>
      <c r="B54" s="17" t="s">
        <v>284</v>
      </c>
      <c r="C54" s="43" t="s">
        <v>287</v>
      </c>
      <c r="D54" s="6">
        <f>'MẪU 09'!F61</f>
        <v>18897255</v>
      </c>
      <c r="E54" s="10">
        <f t="shared" si="0"/>
        <v>18897255</v>
      </c>
      <c r="F54" s="44"/>
      <c r="I54" s="1"/>
      <c r="N54" s="1"/>
      <c r="O54" s="1"/>
    </row>
    <row r="55" spans="1:27" x14ac:dyDescent="0.3">
      <c r="A55" s="9">
        <v>47</v>
      </c>
      <c r="B55" s="17" t="s">
        <v>283</v>
      </c>
      <c r="C55" s="43" t="s">
        <v>286</v>
      </c>
      <c r="D55" s="6">
        <f>'MẪU 09'!F62</f>
        <v>15782246</v>
      </c>
      <c r="E55" s="10">
        <f t="shared" si="0"/>
        <v>15782246</v>
      </c>
      <c r="F55" s="44"/>
      <c r="I55" s="1"/>
      <c r="N55" s="1"/>
      <c r="O55" s="1"/>
    </row>
    <row r="56" spans="1:27" x14ac:dyDescent="0.3">
      <c r="A56" s="9">
        <v>48</v>
      </c>
      <c r="B56" s="37" t="s">
        <v>230</v>
      </c>
      <c r="C56" s="38" t="s">
        <v>226</v>
      </c>
      <c r="D56" s="6">
        <f>'MẪU 09'!F63</f>
        <v>8808462</v>
      </c>
      <c r="E56" s="10">
        <f t="shared" si="0"/>
        <v>8808462</v>
      </c>
      <c r="F56" s="39"/>
      <c r="I56" s="1"/>
      <c r="N56" s="1"/>
      <c r="O56" s="1"/>
    </row>
    <row r="57" spans="1:27" x14ac:dyDescent="0.3">
      <c r="A57" s="9">
        <v>49</v>
      </c>
      <c r="B57" s="37" t="s">
        <v>223</v>
      </c>
      <c r="C57" s="38" t="s">
        <v>225</v>
      </c>
      <c r="D57" s="6">
        <f>'MẪU 09'!F64</f>
        <v>8025030</v>
      </c>
      <c r="E57" s="10">
        <f t="shared" si="0"/>
        <v>8025030</v>
      </c>
      <c r="F57" s="39"/>
      <c r="I57" s="1"/>
      <c r="N57" s="1"/>
      <c r="O57" s="1"/>
    </row>
    <row r="58" spans="1:27" x14ac:dyDescent="0.3">
      <c r="A58" s="9">
        <v>50</v>
      </c>
      <c r="B58" s="177" t="s">
        <v>369</v>
      </c>
      <c r="C58" s="639" t="s">
        <v>447</v>
      </c>
      <c r="D58" s="6">
        <f>'MẪU 09'!F65</f>
        <v>30129840</v>
      </c>
      <c r="E58" s="10">
        <f t="shared" si="0"/>
        <v>30129840</v>
      </c>
      <c r="F58" s="640"/>
      <c r="I58" s="1"/>
      <c r="N58" s="1"/>
      <c r="O58" s="1"/>
    </row>
    <row r="59" spans="1:27" x14ac:dyDescent="0.3">
      <c r="A59" s="9">
        <v>51</v>
      </c>
      <c r="B59" s="42" t="s">
        <v>6</v>
      </c>
      <c r="C59" s="46">
        <v>5606205339784</v>
      </c>
      <c r="D59" s="6">
        <f>'MẪU 09'!H67</f>
        <v>6573294</v>
      </c>
      <c r="E59" s="10">
        <f t="shared" si="0"/>
        <v>6573294</v>
      </c>
      <c r="F59" s="44"/>
      <c r="I59" s="1"/>
      <c r="N59" s="1"/>
      <c r="O59" s="1"/>
    </row>
    <row r="60" spans="1:27" x14ac:dyDescent="0.3">
      <c r="A60" s="9">
        <v>52</v>
      </c>
      <c r="B60" s="42" t="s">
        <v>172</v>
      </c>
      <c r="C60" s="47" t="s">
        <v>250</v>
      </c>
      <c r="D60" s="6">
        <f>'MẪU 09'!H68</f>
        <v>5442372</v>
      </c>
      <c r="E60" s="10">
        <f t="shared" si="0"/>
        <v>5442372</v>
      </c>
      <c r="F60" s="44"/>
      <c r="I60" s="1"/>
      <c r="N60" s="1"/>
      <c r="O60" s="1"/>
    </row>
    <row r="61" spans="1:27" x14ac:dyDescent="0.3">
      <c r="A61" s="9">
        <v>53</v>
      </c>
      <c r="B61" s="45" t="s">
        <v>227</v>
      </c>
      <c r="C61" s="48" t="s">
        <v>293</v>
      </c>
      <c r="D61" s="6">
        <f>'MẪU 09'!H69</f>
        <v>5065398</v>
      </c>
      <c r="E61" s="10">
        <f t="shared" si="0"/>
        <v>5065398</v>
      </c>
      <c r="F61" s="44"/>
      <c r="I61" s="1"/>
      <c r="N61" s="1"/>
      <c r="O61" s="1"/>
    </row>
    <row r="62" spans="1:27" x14ac:dyDescent="0.3">
      <c r="A62" s="9">
        <v>54</v>
      </c>
      <c r="B62" s="45" t="s">
        <v>228</v>
      </c>
      <c r="C62" s="48" t="s">
        <v>294</v>
      </c>
      <c r="D62" s="6">
        <f>'MẪU 09'!H70</f>
        <v>5149170</v>
      </c>
      <c r="E62" s="10">
        <f t="shared" si="0"/>
        <v>5149170</v>
      </c>
      <c r="F62" s="44"/>
      <c r="I62" s="1"/>
      <c r="N62" s="1"/>
      <c r="O62" s="1"/>
    </row>
    <row r="63" spans="1:27" x14ac:dyDescent="0.3">
      <c r="A63" s="13"/>
      <c r="B63" s="11" t="s">
        <v>131</v>
      </c>
      <c r="C63" s="13"/>
      <c r="D63" s="14">
        <f>SUM(D9:D62)</f>
        <v>815784539</v>
      </c>
      <c r="E63" s="14">
        <f>SUM(E9:E62)</f>
        <v>815784539</v>
      </c>
      <c r="F63" s="13"/>
      <c r="G63" s="8"/>
      <c r="H63" s="8"/>
      <c r="I63" s="1"/>
      <c r="N63" s="1"/>
      <c r="O63" s="1"/>
    </row>
    <row r="64" spans="1:27" x14ac:dyDescent="0.3">
      <c r="A64" s="651" t="s">
        <v>444</v>
      </c>
      <c r="B64" s="651"/>
      <c r="C64" s="651"/>
      <c r="D64" s="651"/>
      <c r="E64" s="651"/>
      <c r="F64" s="651"/>
      <c r="G64" s="651"/>
      <c r="H64" s="651"/>
      <c r="I64" s="651"/>
      <c r="J64" s="651"/>
      <c r="K64" s="651"/>
      <c r="L64" s="651"/>
      <c r="M64" s="651"/>
      <c r="N64" s="651"/>
      <c r="O64" s="651"/>
      <c r="P64" s="651"/>
      <c r="Q64" s="651"/>
      <c r="R64" s="651"/>
      <c r="S64" s="651"/>
      <c r="T64" s="651"/>
      <c r="U64" s="651"/>
      <c r="V64" s="651"/>
      <c r="W64" s="651"/>
      <c r="X64" s="651"/>
      <c r="Y64" s="651"/>
      <c r="Z64" s="651"/>
      <c r="AA64" s="651"/>
    </row>
    <row r="65" spans="1:45" x14ac:dyDescent="0.3">
      <c r="A65" s="20"/>
      <c r="B65" s="20"/>
      <c r="C65" s="20"/>
      <c r="D65" s="652" t="s">
        <v>451</v>
      </c>
      <c r="E65" s="652"/>
      <c r="F65" s="652"/>
      <c r="I65" s="1"/>
      <c r="N65" s="1"/>
      <c r="O65" s="1"/>
    </row>
    <row r="66" spans="1:45" s="16" customFormat="1" ht="27" customHeight="1" x14ac:dyDescent="0.3">
      <c r="A66" s="645" t="s">
        <v>132</v>
      </c>
      <c r="B66" s="645"/>
      <c r="C66" s="33"/>
      <c r="D66" s="641" t="s">
        <v>65</v>
      </c>
      <c r="E66" s="641"/>
      <c r="F66" s="641"/>
    </row>
    <row r="67" spans="1:45" s="16" customFormat="1" x14ac:dyDescent="0.3">
      <c r="A67" s="25"/>
      <c r="B67" s="25"/>
      <c r="C67" s="25"/>
      <c r="E67" s="649"/>
      <c r="F67" s="649"/>
    </row>
    <row r="68" spans="1:45" s="16" customFormat="1" x14ac:dyDescent="0.3">
      <c r="A68" s="25"/>
      <c r="B68" s="25"/>
      <c r="C68" s="25"/>
      <c r="E68" s="24"/>
      <c r="F68" s="15"/>
      <c r="G68" s="40"/>
    </row>
    <row r="69" spans="1:45" s="16" customFormat="1" x14ac:dyDescent="0.3">
      <c r="A69" s="25"/>
      <c r="B69" s="25"/>
      <c r="C69" s="25"/>
      <c r="E69" s="24"/>
      <c r="F69" s="15"/>
      <c r="J69" s="15"/>
    </row>
    <row r="70" spans="1:45" s="16" customFormat="1" x14ac:dyDescent="0.3">
      <c r="A70" s="645" t="s">
        <v>174</v>
      </c>
      <c r="B70" s="645"/>
      <c r="C70" s="25"/>
      <c r="D70" s="642" t="s">
        <v>350</v>
      </c>
      <c r="E70" s="642"/>
      <c r="F70" s="642"/>
    </row>
    <row r="71" spans="1:45" s="16" customFormat="1" x14ac:dyDescent="0.3">
      <c r="A71" s="34"/>
      <c r="C71" s="25"/>
      <c r="D71" s="25"/>
      <c r="E71" s="35"/>
      <c r="F71" s="25"/>
    </row>
    <row r="72" spans="1:45" x14ac:dyDescent="0.3">
      <c r="A72" s="20"/>
      <c r="B72" s="20"/>
      <c r="C72" s="644"/>
      <c r="D72" s="644"/>
      <c r="E72" s="20"/>
      <c r="F72" s="20"/>
      <c r="I72" s="1"/>
      <c r="N72" s="1"/>
      <c r="O72" s="1"/>
    </row>
    <row r="73" spans="1:45" x14ac:dyDescent="0.3">
      <c r="A73" s="1"/>
      <c r="C73" s="1"/>
      <c r="E73" s="41"/>
      <c r="I73" s="1"/>
      <c r="N73" s="1"/>
      <c r="O73" s="1"/>
    </row>
    <row r="74" spans="1:45" x14ac:dyDescent="0.3">
      <c r="A74" s="1"/>
      <c r="C74" s="1"/>
      <c r="I74" s="1"/>
      <c r="N74" s="1"/>
      <c r="O74" s="1"/>
    </row>
    <row r="75" spans="1:45" ht="20.25" customHeight="1" x14ac:dyDescent="0.3">
      <c r="A75" s="1"/>
      <c r="C75" s="1"/>
      <c r="I75" s="1"/>
      <c r="N75" s="1"/>
      <c r="O75" s="1"/>
    </row>
    <row r="76" spans="1:45" x14ac:dyDescent="0.3">
      <c r="A76" s="1"/>
      <c r="C76" s="1"/>
      <c r="I76" s="1"/>
      <c r="N76" s="1"/>
      <c r="O76" s="1"/>
    </row>
    <row r="77" spans="1:45" x14ac:dyDescent="0.3">
      <c r="A77" s="1"/>
      <c r="C77" s="1"/>
      <c r="I77" s="1"/>
      <c r="N77" s="1"/>
      <c r="O77" s="1"/>
    </row>
    <row r="78" spans="1:45" x14ac:dyDescent="0.3">
      <c r="A78" s="1"/>
      <c r="C78" s="1"/>
      <c r="I78" s="1"/>
      <c r="N78" s="1"/>
      <c r="O78" s="1"/>
    </row>
    <row r="79" spans="1:45" x14ac:dyDescent="0.3">
      <c r="A79" s="1"/>
      <c r="C79" s="1"/>
      <c r="I79" s="1"/>
      <c r="N79" s="1"/>
      <c r="O79" s="1"/>
    </row>
    <row r="80" spans="1:45" x14ac:dyDescent="0.3">
      <c r="P80" s="4"/>
      <c r="Q80" s="5"/>
      <c r="R80" s="4"/>
      <c r="S80" s="4"/>
      <c r="T80" s="4"/>
      <c r="U80" s="4"/>
      <c r="V80" s="5"/>
      <c r="W80" s="4"/>
      <c r="X80" s="4"/>
      <c r="Y80" s="4"/>
      <c r="Z80" s="4"/>
      <c r="AA80" s="5"/>
      <c r="AB80" s="4"/>
      <c r="AC80" s="4"/>
      <c r="AD80" s="4"/>
      <c r="AE80" s="4"/>
      <c r="AF80" s="4"/>
      <c r="AG80" s="4"/>
      <c r="AH80" s="4"/>
      <c r="AI80" s="4"/>
      <c r="AJ80" s="4"/>
      <c r="AK80" s="4"/>
      <c r="AL80" s="4"/>
      <c r="AM80" s="4"/>
      <c r="AN80" s="4"/>
      <c r="AO80" s="4"/>
      <c r="AP80" s="4"/>
      <c r="AQ80" s="4"/>
      <c r="AR80" s="4"/>
      <c r="AS80" s="4"/>
    </row>
    <row r="81" spans="16:45" x14ac:dyDescent="0.3">
      <c r="P81" s="4"/>
      <c r="Q81" s="5"/>
      <c r="R81" s="4"/>
      <c r="S81" s="4"/>
      <c r="T81" s="4"/>
      <c r="U81" s="4"/>
      <c r="V81" s="5"/>
      <c r="W81" s="4"/>
      <c r="X81" s="4"/>
      <c r="Y81" s="4"/>
      <c r="Z81" s="4"/>
      <c r="AA81" s="5"/>
      <c r="AB81" s="4"/>
      <c r="AC81" s="4"/>
      <c r="AD81" s="4"/>
      <c r="AE81" s="4"/>
      <c r="AF81" s="4"/>
      <c r="AG81" s="4"/>
      <c r="AH81" s="4"/>
      <c r="AI81" s="4"/>
      <c r="AJ81" s="4"/>
      <c r="AK81" s="4"/>
      <c r="AL81" s="4"/>
      <c r="AM81" s="4"/>
      <c r="AN81" s="4"/>
      <c r="AO81" s="4"/>
      <c r="AP81" s="4"/>
      <c r="AQ81" s="4"/>
      <c r="AR81" s="4"/>
      <c r="AS81" s="4"/>
    </row>
  </sheetData>
  <mergeCells count="16">
    <mergeCell ref="D66:F66"/>
    <mergeCell ref="D70:F70"/>
    <mergeCell ref="A1:F1"/>
    <mergeCell ref="C72:D72"/>
    <mergeCell ref="A70:B70"/>
    <mergeCell ref="A2:E2"/>
    <mergeCell ref="A3:E3"/>
    <mergeCell ref="A4:E4"/>
    <mergeCell ref="A5:F5"/>
    <mergeCell ref="A66:B66"/>
    <mergeCell ref="A6:F6"/>
    <mergeCell ref="E67:F67"/>
    <mergeCell ref="E7:F7"/>
    <mergeCell ref="A64:AA64"/>
    <mergeCell ref="D65:F65"/>
    <mergeCell ref="G43:G47"/>
  </mergeCells>
  <printOptions horizontalCentered="1"/>
  <pageMargins left="0.2" right="0" top="0.16" bottom="0.23622047244094491" header="0.16"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3"/>
  <sheetViews>
    <sheetView topLeftCell="A67" zoomScaleNormal="100" workbookViewId="0">
      <selection activeCell="B72" sqref="B72:Q72"/>
    </sheetView>
  </sheetViews>
  <sheetFormatPr defaultColWidth="8.109375" defaultRowHeight="18.75" x14ac:dyDescent="0.3"/>
  <cols>
    <col min="1" max="1" width="5.21875" style="387" customWidth="1"/>
    <col min="2" max="2" width="15.109375" style="49" customWidth="1"/>
    <col min="3" max="3" width="16.5546875" style="84" customWidth="1"/>
    <col min="4" max="4" width="15.6640625" style="49" customWidth="1"/>
    <col min="5" max="5" width="10.6640625" style="49" customWidth="1"/>
    <col min="6" max="6" width="12.88671875" style="49" customWidth="1"/>
    <col min="7" max="7" width="0.21875" style="49" hidden="1" customWidth="1"/>
    <col min="8" max="8" width="9.6640625" style="49" customWidth="1"/>
    <col min="9" max="9" width="6.77734375" style="49" customWidth="1"/>
    <col min="10" max="10" width="5.88671875" style="122" customWidth="1"/>
    <col min="11" max="11" width="12.33203125" style="49" customWidth="1"/>
    <col min="12" max="12" width="0.6640625" style="49" hidden="1" customWidth="1"/>
    <col min="13" max="13" width="9" style="49" hidden="1" customWidth="1"/>
    <col min="14" max="14" width="8.88671875" style="49" customWidth="1"/>
    <col min="15" max="15" width="9.44140625" style="49" customWidth="1"/>
    <col min="16" max="16" width="18.44140625" style="127" customWidth="1"/>
    <col min="17" max="17" width="9.5546875" style="127" customWidth="1"/>
    <col min="18" max="19" width="8.109375" style="49"/>
    <col min="20" max="20" width="9.109375" style="49" bestFit="1" customWidth="1"/>
    <col min="21" max="16384" width="8.109375" style="49"/>
  </cols>
  <sheetData>
    <row r="1" spans="1:17" x14ac:dyDescent="0.3">
      <c r="A1" s="49"/>
      <c r="D1" s="259"/>
      <c r="E1" s="259"/>
      <c r="F1" s="260"/>
      <c r="G1" s="260"/>
      <c r="H1" s="259"/>
      <c r="I1" s="259"/>
      <c r="J1" s="261"/>
      <c r="K1" s="259"/>
      <c r="L1" s="259"/>
      <c r="M1" s="259"/>
      <c r="N1" s="259"/>
      <c r="O1" s="262" t="s">
        <v>117</v>
      </c>
      <c r="P1" s="260"/>
      <c r="Q1" s="260"/>
    </row>
    <row r="2" spans="1:17" x14ac:dyDescent="0.3">
      <c r="B2" s="660" t="s">
        <v>78</v>
      </c>
      <c r="C2" s="660"/>
      <c r="D2" s="660"/>
      <c r="E2" s="660"/>
      <c r="F2" s="660"/>
      <c r="G2" s="660"/>
      <c r="H2" s="660"/>
      <c r="I2" s="660"/>
      <c r="J2" s="660"/>
      <c r="K2" s="660"/>
      <c r="L2" s="660"/>
      <c r="M2" s="501"/>
      <c r="N2" s="501"/>
      <c r="O2" s="262" t="s">
        <v>118</v>
      </c>
      <c r="P2" s="260"/>
      <c r="Q2" s="260"/>
    </row>
    <row r="3" spans="1:17" x14ac:dyDescent="0.3">
      <c r="B3" s="501"/>
      <c r="C3" s="694" t="s">
        <v>446</v>
      </c>
      <c r="D3" s="694"/>
      <c r="E3" s="694"/>
      <c r="F3" s="694"/>
      <c r="G3" s="694"/>
      <c r="H3" s="694"/>
      <c r="I3" s="501"/>
      <c r="J3" s="263"/>
      <c r="K3" s="501"/>
      <c r="L3" s="501"/>
      <c r="M3" s="501"/>
      <c r="N3" s="501"/>
      <c r="O3" s="262" t="s">
        <v>445</v>
      </c>
      <c r="P3" s="260"/>
      <c r="Q3" s="260"/>
    </row>
    <row r="4" spans="1:17" ht="18.75" customHeight="1" x14ac:dyDescent="0.3">
      <c r="B4" s="501"/>
      <c r="C4" s="264"/>
      <c r="D4" s="501" t="s">
        <v>279</v>
      </c>
      <c r="E4" s="502"/>
      <c r="F4" s="502" t="s">
        <v>79</v>
      </c>
      <c r="G4" s="502"/>
      <c r="H4" s="501"/>
      <c r="I4" s="501"/>
      <c r="J4" s="263"/>
      <c r="K4" s="501"/>
      <c r="L4" s="501"/>
      <c r="M4" s="501"/>
      <c r="N4" s="501"/>
      <c r="O4" s="262"/>
      <c r="P4" s="260"/>
      <c r="Q4" s="260"/>
    </row>
    <row r="5" spans="1:17" s="58" customFormat="1" ht="24" customHeight="1" x14ac:dyDescent="0.3">
      <c r="A5" s="692" t="s">
        <v>213</v>
      </c>
      <c r="B5" s="692"/>
      <c r="C5" s="692"/>
      <c r="D5" s="692"/>
      <c r="E5" s="692"/>
      <c r="F5" s="692"/>
      <c r="G5" s="692"/>
      <c r="H5" s="692"/>
      <c r="I5" s="692"/>
      <c r="J5" s="692"/>
      <c r="K5" s="692"/>
      <c r="L5" s="692"/>
      <c r="M5" s="692"/>
      <c r="N5" s="692"/>
      <c r="O5" s="692"/>
      <c r="P5" s="692"/>
      <c r="Q5" s="502"/>
    </row>
    <row r="6" spans="1:17" s="58" customFormat="1" ht="20.25" customHeight="1" x14ac:dyDescent="0.3">
      <c r="A6" s="693" t="s">
        <v>214</v>
      </c>
      <c r="B6" s="693"/>
      <c r="C6" s="693"/>
      <c r="D6" s="693"/>
      <c r="E6" s="693"/>
      <c r="F6" s="693"/>
      <c r="G6" s="693"/>
      <c r="H6" s="693"/>
      <c r="I6" s="693"/>
      <c r="J6" s="693"/>
      <c r="K6" s="693"/>
      <c r="L6" s="693"/>
      <c r="M6" s="693"/>
      <c r="N6" s="693"/>
      <c r="O6" s="693"/>
      <c r="P6" s="693"/>
      <c r="Q6" s="503"/>
    </row>
    <row r="7" spans="1:17" s="58" customFormat="1" ht="17.25" customHeight="1" x14ac:dyDescent="0.3">
      <c r="A7" s="265" t="s">
        <v>258</v>
      </c>
      <c r="B7" s="49"/>
      <c r="C7" s="84"/>
      <c r="D7" s="265"/>
      <c r="E7" s="266"/>
      <c r="F7" s="266"/>
      <c r="G7" s="266"/>
      <c r="H7" s="266"/>
      <c r="I7" s="266"/>
      <c r="J7" s="266"/>
      <c r="K7" s="266"/>
      <c r="L7" s="266"/>
      <c r="M7" s="259"/>
      <c r="N7" s="259"/>
      <c r="O7" s="259"/>
      <c r="P7" s="260"/>
      <c r="Q7" s="260"/>
    </row>
    <row r="8" spans="1:17" s="58" customFormat="1" ht="39" customHeight="1" x14ac:dyDescent="0.3">
      <c r="A8" s="655" t="s">
        <v>448</v>
      </c>
      <c r="B8" s="655"/>
      <c r="C8" s="655"/>
      <c r="D8" s="655"/>
      <c r="E8" s="655"/>
      <c r="F8" s="655"/>
      <c r="G8" s="655"/>
      <c r="H8" s="655"/>
      <c r="I8" s="655"/>
      <c r="J8" s="655"/>
      <c r="K8" s="655"/>
      <c r="L8" s="655"/>
      <c r="M8" s="655"/>
      <c r="N8" s="655"/>
      <c r="O8" s="655"/>
      <c r="P8" s="655"/>
      <c r="Q8" s="260"/>
    </row>
    <row r="9" spans="1:17" s="58" customFormat="1" ht="18" customHeight="1" x14ac:dyDescent="0.3">
      <c r="A9" s="174"/>
      <c r="B9" s="174"/>
      <c r="C9" s="84"/>
      <c r="D9" s="174"/>
      <c r="E9" s="174"/>
      <c r="F9" s="260"/>
      <c r="G9" s="260"/>
      <c r="H9" s="259"/>
      <c r="I9" s="259"/>
      <c r="J9" s="261"/>
      <c r="K9" s="259"/>
      <c r="L9" s="259"/>
      <c r="M9" s="259"/>
      <c r="N9" s="259"/>
      <c r="O9" s="259"/>
      <c r="P9" s="267" t="s">
        <v>259</v>
      </c>
      <c r="Q9" s="267"/>
    </row>
    <row r="10" spans="1:17" s="58" customFormat="1" ht="18" customHeight="1" x14ac:dyDescent="0.2">
      <c r="A10" s="695" t="s">
        <v>0</v>
      </c>
      <c r="B10" s="680" t="s">
        <v>31</v>
      </c>
      <c r="C10" s="676" t="s">
        <v>80</v>
      </c>
      <c r="D10" s="676"/>
      <c r="E10" s="698" t="s">
        <v>367</v>
      </c>
      <c r="F10" s="676" t="s">
        <v>81</v>
      </c>
      <c r="G10" s="676"/>
      <c r="H10" s="676"/>
      <c r="I10" s="676"/>
      <c r="J10" s="676"/>
      <c r="K10" s="676"/>
      <c r="L10" s="676"/>
      <c r="M10" s="676"/>
      <c r="N10" s="676"/>
      <c r="O10" s="676"/>
      <c r="P10" s="680" t="s">
        <v>119</v>
      </c>
      <c r="Q10" s="268"/>
    </row>
    <row r="11" spans="1:17" s="58" customFormat="1" ht="30.75" customHeight="1" x14ac:dyDescent="0.2">
      <c r="A11" s="696"/>
      <c r="B11" s="681"/>
      <c r="C11" s="683" t="s">
        <v>82</v>
      </c>
      <c r="D11" s="676" t="s">
        <v>83</v>
      </c>
      <c r="E11" s="698"/>
      <c r="F11" s="676" t="s">
        <v>84</v>
      </c>
      <c r="G11" s="505"/>
      <c r="H11" s="676" t="s">
        <v>300</v>
      </c>
      <c r="I11" s="676" t="s">
        <v>257</v>
      </c>
      <c r="J11" s="656" t="s">
        <v>120</v>
      </c>
      <c r="K11" s="661" t="s">
        <v>121</v>
      </c>
      <c r="L11" s="662"/>
      <c r="M11" s="663"/>
      <c r="N11" s="676" t="s">
        <v>261</v>
      </c>
      <c r="O11" s="676" t="s">
        <v>122</v>
      </c>
      <c r="P11" s="681"/>
      <c r="Q11" s="342">
        <f>Q15-P15</f>
        <v>32688351</v>
      </c>
    </row>
    <row r="12" spans="1:17" s="58" customFormat="1" ht="28.5" customHeight="1" x14ac:dyDescent="0.2">
      <c r="A12" s="697"/>
      <c r="B12" s="682"/>
      <c r="C12" s="683"/>
      <c r="D12" s="676"/>
      <c r="E12" s="698"/>
      <c r="F12" s="676"/>
      <c r="G12" s="505"/>
      <c r="H12" s="676"/>
      <c r="I12" s="676"/>
      <c r="J12" s="656"/>
      <c r="K12" s="664"/>
      <c r="L12" s="665"/>
      <c r="M12" s="666"/>
      <c r="N12" s="676"/>
      <c r="O12" s="676"/>
      <c r="P12" s="682"/>
      <c r="Q12" s="268"/>
    </row>
    <row r="13" spans="1:17" ht="19.5" customHeight="1" x14ac:dyDescent="0.3">
      <c r="A13" s="269" t="s">
        <v>260</v>
      </c>
      <c r="B13" s="269" t="s">
        <v>262</v>
      </c>
      <c r="C13" s="671" t="s">
        <v>263</v>
      </c>
      <c r="D13" s="672"/>
      <c r="E13" s="269" t="s">
        <v>264</v>
      </c>
      <c r="F13" s="269" t="s">
        <v>265</v>
      </c>
      <c r="G13" s="269" t="s">
        <v>260</v>
      </c>
      <c r="H13" s="269" t="s">
        <v>266</v>
      </c>
      <c r="I13" s="269" t="s">
        <v>267</v>
      </c>
      <c r="J13" s="269" t="s">
        <v>268</v>
      </c>
      <c r="K13" s="677" t="s">
        <v>269</v>
      </c>
      <c r="L13" s="678"/>
      <c r="M13" s="678"/>
      <c r="N13" s="269" t="s">
        <v>270</v>
      </c>
      <c r="O13" s="269" t="s">
        <v>271</v>
      </c>
      <c r="P13" s="343" t="s">
        <v>272</v>
      </c>
      <c r="Q13" s="270"/>
    </row>
    <row r="14" spans="1:17" x14ac:dyDescent="0.3">
      <c r="A14" s="81"/>
      <c r="B14" s="271" t="s">
        <v>85</v>
      </c>
      <c r="C14" s="272"/>
      <c r="D14" s="81"/>
      <c r="E14" s="273">
        <f>F14+H14</f>
        <v>815784539</v>
      </c>
      <c r="F14" s="273">
        <f>F15</f>
        <v>793554305</v>
      </c>
      <c r="G14" s="273" t="e">
        <f>G15+#REF!</f>
        <v>#REF!</v>
      </c>
      <c r="H14" s="273">
        <f>H66</f>
        <v>22230234</v>
      </c>
      <c r="I14" s="273">
        <f>I15</f>
        <v>0</v>
      </c>
      <c r="J14" s="273">
        <f t="shared" ref="J14:O14" si="0">J15</f>
        <v>0</v>
      </c>
      <c r="K14" s="273">
        <v>0</v>
      </c>
      <c r="L14" s="273" t="e">
        <f>L15+#REF!</f>
        <v>#REF!</v>
      </c>
      <c r="M14" s="273" t="e">
        <f>M15+#REF!</f>
        <v>#REF!</v>
      </c>
      <c r="N14" s="273">
        <f t="shared" si="0"/>
        <v>0</v>
      </c>
      <c r="O14" s="273">
        <f t="shared" si="0"/>
        <v>0</v>
      </c>
      <c r="P14" s="274"/>
      <c r="Q14" s="390"/>
    </row>
    <row r="15" spans="1:17" ht="18.75" customHeight="1" x14ac:dyDescent="0.3">
      <c r="A15" s="515" t="s">
        <v>61</v>
      </c>
      <c r="B15" s="657" t="s">
        <v>296</v>
      </c>
      <c r="C15" s="658"/>
      <c r="D15" s="659"/>
      <c r="E15" s="275">
        <f>SUM(E16:E64)</f>
        <v>763424465</v>
      </c>
      <c r="F15" s="275">
        <f>SUM(F16:F65)</f>
        <v>793554305</v>
      </c>
      <c r="G15" s="275" t="e">
        <f>SUM(G16:G59)</f>
        <v>#REF!</v>
      </c>
      <c r="H15" s="275"/>
      <c r="I15" s="275"/>
      <c r="J15" s="275">
        <f>SUM(J16:J58)</f>
        <v>0</v>
      </c>
      <c r="K15" s="275">
        <f>SUM(K16:K64)</f>
        <v>0</v>
      </c>
      <c r="L15" s="275">
        <f>SUM(L16:L64)</f>
        <v>0</v>
      </c>
      <c r="M15" s="275">
        <f>SUM(M16:M64)</f>
        <v>0</v>
      </c>
      <c r="N15" s="275">
        <f>SUM(N16:N58)</f>
        <v>0</v>
      </c>
      <c r="O15" s="275">
        <f>SUM(O16:O58)</f>
        <v>0</v>
      </c>
      <c r="P15" s="275">
        <f>SUM(P16:P70)</f>
        <v>0</v>
      </c>
      <c r="Q15" s="238">
        <f>SUM(Q16:Q70)</f>
        <v>32688351</v>
      </c>
    </row>
    <row r="16" spans="1:17" ht="19.5" customHeight="1" x14ac:dyDescent="0.3">
      <c r="A16" s="108" t="s">
        <v>137</v>
      </c>
      <c r="B16" s="109" t="s">
        <v>350</v>
      </c>
      <c r="C16" s="276" t="s">
        <v>359</v>
      </c>
      <c r="D16" s="109" t="s">
        <v>231</v>
      </c>
      <c r="E16" s="277">
        <f>F16+H16</f>
        <v>23477791</v>
      </c>
      <c r="F16" s="116">
        <f>'luong 9-2024'!AH9+601747</f>
        <v>23477791</v>
      </c>
      <c r="G16" s="116">
        <v>473659</v>
      </c>
      <c r="H16" s="109"/>
      <c r="I16" s="116"/>
      <c r="J16" s="116"/>
      <c r="K16" s="116"/>
      <c r="L16" s="116"/>
      <c r="M16" s="116"/>
      <c r="N16" s="116"/>
      <c r="O16" s="116"/>
      <c r="P16" s="281" t="s">
        <v>433</v>
      </c>
      <c r="Q16" s="281">
        <f>300875+601747</f>
        <v>902622</v>
      </c>
    </row>
    <row r="17" spans="1:18" ht="19.5" customHeight="1" x14ac:dyDescent="0.3">
      <c r="A17" s="108" t="s">
        <v>138</v>
      </c>
      <c r="B17" s="109" t="s">
        <v>89</v>
      </c>
      <c r="C17" s="276" t="s">
        <v>232</v>
      </c>
      <c r="D17" s="109" t="s">
        <v>231</v>
      </c>
      <c r="E17" s="277">
        <f t="shared" ref="E17:E63" si="1">F17+H17</f>
        <v>17339072</v>
      </c>
      <c r="F17" s="116">
        <f>'luong 9-2024'!AH10</f>
        <v>17339072</v>
      </c>
      <c r="G17" s="116">
        <f>4332504+1005813</f>
        <v>5338317</v>
      </c>
      <c r="H17" s="116"/>
      <c r="I17" s="116"/>
      <c r="J17" s="116"/>
      <c r="K17" s="116"/>
      <c r="L17" s="116"/>
      <c r="M17" s="116"/>
      <c r="N17" s="116"/>
      <c r="O17" s="116"/>
      <c r="P17" s="281"/>
      <c r="Q17" s="281">
        <f>'luong 9-2024'!AJ10</f>
        <v>0</v>
      </c>
    </row>
    <row r="18" spans="1:18" ht="19.5" customHeight="1" x14ac:dyDescent="0.3">
      <c r="A18" s="108" t="s">
        <v>139</v>
      </c>
      <c r="B18" s="109" t="s">
        <v>24</v>
      </c>
      <c r="C18" s="279" t="s">
        <v>254</v>
      </c>
      <c r="D18" s="109" t="s">
        <v>231</v>
      </c>
      <c r="E18" s="277">
        <f t="shared" si="1"/>
        <v>17375904</v>
      </c>
      <c r="F18" s="116">
        <f>'luong 9-2024'!AH11</f>
        <v>17375904</v>
      </c>
      <c r="G18" s="116">
        <v>428295</v>
      </c>
      <c r="H18" s="109"/>
      <c r="I18" s="116"/>
      <c r="J18" s="116"/>
      <c r="K18" s="116"/>
      <c r="L18" s="116"/>
      <c r="M18" s="116"/>
      <c r="N18" s="116"/>
      <c r="O18" s="116"/>
      <c r="P18" s="281"/>
      <c r="Q18" s="281">
        <f>'luong 9-2024'!AJ11</f>
        <v>0</v>
      </c>
    </row>
    <row r="19" spans="1:18" ht="19.5" customHeight="1" x14ac:dyDescent="0.3">
      <c r="A19" s="108" t="s">
        <v>140</v>
      </c>
      <c r="B19" s="109" t="s">
        <v>14</v>
      </c>
      <c r="C19" s="276" t="s">
        <v>233</v>
      </c>
      <c r="D19" s="109" t="s">
        <v>231</v>
      </c>
      <c r="E19" s="277">
        <f t="shared" si="1"/>
        <v>16986520</v>
      </c>
      <c r="F19" s="116">
        <f>'luong 9-2024'!AH12</f>
        <v>16986520</v>
      </c>
      <c r="G19" s="116">
        <v>417749</v>
      </c>
      <c r="H19" s="109"/>
      <c r="I19" s="116"/>
      <c r="J19" s="116"/>
      <c r="K19" s="116"/>
      <c r="L19" s="116"/>
      <c r="M19" s="116"/>
      <c r="N19" s="116"/>
      <c r="O19" s="116"/>
      <c r="P19" s="281"/>
      <c r="Q19" s="281">
        <f>'luong 9-2024'!AJ12</f>
        <v>0</v>
      </c>
    </row>
    <row r="20" spans="1:18" ht="19.5" customHeight="1" x14ac:dyDescent="0.3">
      <c r="A20" s="108" t="s">
        <v>141</v>
      </c>
      <c r="B20" s="109" t="s">
        <v>15</v>
      </c>
      <c r="C20" s="280">
        <v>5606205371350</v>
      </c>
      <c r="D20" s="109" t="s">
        <v>231</v>
      </c>
      <c r="E20" s="277">
        <f t="shared" si="1"/>
        <v>15423577</v>
      </c>
      <c r="F20" s="116">
        <f>'luong 9-2024'!AH13</f>
        <v>15423577</v>
      </c>
      <c r="G20" s="116">
        <v>44043</v>
      </c>
      <c r="H20" s="109"/>
      <c r="I20" s="116"/>
      <c r="J20" s="116"/>
      <c r="K20" s="116"/>
      <c r="L20" s="116"/>
      <c r="M20" s="116"/>
      <c r="N20" s="116"/>
      <c r="O20" s="116"/>
      <c r="P20" s="281"/>
      <c r="Q20" s="281">
        <f>'luong 9-2024'!AJ13</f>
        <v>0</v>
      </c>
    </row>
    <row r="21" spans="1:18" ht="19.5" customHeight="1" x14ac:dyDescent="0.3">
      <c r="A21" s="108" t="s">
        <v>111</v>
      </c>
      <c r="B21" s="109" t="s">
        <v>16</v>
      </c>
      <c r="C21" s="280">
        <v>5606205370190</v>
      </c>
      <c r="D21" s="109" t="s">
        <v>231</v>
      </c>
      <c r="E21" s="277">
        <f t="shared" si="1"/>
        <v>15306158</v>
      </c>
      <c r="F21" s="116">
        <f>'luong 9-2024'!AH14</f>
        <v>15306158</v>
      </c>
      <c r="G21" s="116">
        <v>48263</v>
      </c>
      <c r="H21" s="109"/>
      <c r="I21" s="116"/>
      <c r="J21" s="116"/>
      <c r="K21" s="116"/>
      <c r="L21" s="116"/>
      <c r="M21" s="116"/>
      <c r="N21" s="116"/>
      <c r="O21" s="116"/>
      <c r="P21" s="281"/>
      <c r="Q21" s="281">
        <f>'luong 9-2024'!AJ14</f>
        <v>0</v>
      </c>
    </row>
    <row r="22" spans="1:18" ht="19.5" customHeight="1" x14ac:dyDescent="0.3">
      <c r="A22" s="108" t="s">
        <v>135</v>
      </c>
      <c r="B22" s="109" t="s">
        <v>17</v>
      </c>
      <c r="C22" s="280">
        <v>5606215000592</v>
      </c>
      <c r="D22" s="109" t="s">
        <v>231</v>
      </c>
      <c r="E22" s="277">
        <f t="shared" si="1"/>
        <v>17228389</v>
      </c>
      <c r="F22" s="116">
        <f>'luong 9-2024'!AH15</f>
        <v>17228389</v>
      </c>
      <c r="G22" s="116">
        <f>50900+6332053</f>
        <v>6382953</v>
      </c>
      <c r="H22" s="109"/>
      <c r="I22" s="116"/>
      <c r="J22" s="116"/>
      <c r="K22" s="116"/>
      <c r="L22" s="116"/>
      <c r="M22" s="116"/>
      <c r="N22" s="116"/>
      <c r="O22" s="116"/>
      <c r="P22" s="281"/>
      <c r="Q22" s="281">
        <f>'luong 9-2024'!AJ15</f>
        <v>0</v>
      </c>
    </row>
    <row r="23" spans="1:18" ht="19.5" customHeight="1" x14ac:dyDescent="0.3">
      <c r="A23" s="108" t="s">
        <v>109</v>
      </c>
      <c r="B23" s="109" t="s">
        <v>12</v>
      </c>
      <c r="C23" s="280">
        <v>5606205074346</v>
      </c>
      <c r="D23" s="109" t="s">
        <v>231</v>
      </c>
      <c r="E23" s="277">
        <f t="shared" si="1"/>
        <v>19552628</v>
      </c>
      <c r="F23" s="116">
        <f>'luong 9-2024'!AH16</f>
        <v>19552628</v>
      </c>
      <c r="G23" s="116">
        <v>55253</v>
      </c>
      <c r="H23" s="109"/>
      <c r="I23" s="116"/>
      <c r="J23" s="116"/>
      <c r="K23" s="116"/>
      <c r="L23" s="116"/>
      <c r="M23" s="116"/>
      <c r="N23" s="116"/>
      <c r="O23" s="116"/>
      <c r="P23" s="281"/>
      <c r="Q23" s="281">
        <f>'luong 9-2024'!AJ16</f>
        <v>0</v>
      </c>
    </row>
    <row r="24" spans="1:18" ht="19.5" customHeight="1" x14ac:dyDescent="0.3">
      <c r="A24" s="108" t="s">
        <v>136</v>
      </c>
      <c r="B24" s="109" t="s">
        <v>18</v>
      </c>
      <c r="C24" s="280">
        <v>5606215000478</v>
      </c>
      <c r="D24" s="109" t="s">
        <v>231</v>
      </c>
      <c r="E24" s="277">
        <f t="shared" si="1"/>
        <v>14497063</v>
      </c>
      <c r="F24" s="116">
        <f>'luong 9-2024'!AH17</f>
        <v>14497063</v>
      </c>
      <c r="G24" s="116">
        <f>8375773+560734</f>
        <v>8936507</v>
      </c>
      <c r="H24" s="109"/>
      <c r="I24" s="116"/>
      <c r="J24" s="116"/>
      <c r="K24" s="116"/>
      <c r="L24" s="116"/>
      <c r="M24" s="116"/>
      <c r="N24" s="116"/>
      <c r="O24" s="116"/>
      <c r="P24" s="281"/>
      <c r="Q24" s="281">
        <f>'luong 9-2024'!AJ17</f>
        <v>0</v>
      </c>
    </row>
    <row r="25" spans="1:18" ht="19.5" customHeight="1" x14ac:dyDescent="0.3">
      <c r="A25" s="108" t="s">
        <v>108</v>
      </c>
      <c r="B25" s="109" t="s">
        <v>25</v>
      </c>
      <c r="C25" s="280">
        <v>5606205371338</v>
      </c>
      <c r="D25" s="109" t="s">
        <v>231</v>
      </c>
      <c r="E25" s="277">
        <f t="shared" si="1"/>
        <v>16020546</v>
      </c>
      <c r="F25" s="116">
        <f>'luong 9-2024'!AH18</f>
        <v>16020546</v>
      </c>
      <c r="G25" s="116">
        <v>39559</v>
      </c>
      <c r="H25" s="109"/>
      <c r="I25" s="116"/>
      <c r="J25" s="116"/>
      <c r="K25" s="116"/>
      <c r="L25" s="116"/>
      <c r="M25" s="116"/>
      <c r="N25" s="116"/>
      <c r="O25" s="116"/>
      <c r="P25" s="281"/>
      <c r="Q25" s="281">
        <f>'luong 9-2024'!AJ18</f>
        <v>0</v>
      </c>
    </row>
    <row r="26" spans="1:18" ht="19.5" customHeight="1" x14ac:dyDescent="0.3">
      <c r="A26" s="108" t="s">
        <v>106</v>
      </c>
      <c r="B26" s="109" t="s">
        <v>93</v>
      </c>
      <c r="C26" s="280">
        <v>5606205371498</v>
      </c>
      <c r="D26" s="109" t="s">
        <v>231</v>
      </c>
      <c r="E26" s="277">
        <f t="shared" si="1"/>
        <v>17518485</v>
      </c>
      <c r="F26" s="116">
        <f>'luong 9-2024'!AH19</f>
        <v>17518485</v>
      </c>
      <c r="G26" s="116">
        <v>48263</v>
      </c>
      <c r="H26" s="109"/>
      <c r="I26" s="116"/>
      <c r="J26" s="116"/>
      <c r="K26" s="116"/>
      <c r="L26" s="116"/>
      <c r="M26" s="116"/>
      <c r="N26" s="116"/>
      <c r="O26" s="116"/>
      <c r="P26" s="281"/>
      <c r="Q26" s="281">
        <f>'luong 9-2024'!AJ19</f>
        <v>0</v>
      </c>
    </row>
    <row r="27" spans="1:18" ht="19.5" customHeight="1" x14ac:dyDescent="0.3">
      <c r="A27" s="108" t="s">
        <v>105</v>
      </c>
      <c r="B27" s="109" t="s">
        <v>19</v>
      </c>
      <c r="C27" s="279" t="s">
        <v>234</v>
      </c>
      <c r="D27" s="109" t="s">
        <v>231</v>
      </c>
      <c r="E27" s="277">
        <f t="shared" si="1"/>
        <v>17805041</v>
      </c>
      <c r="F27" s="116">
        <f>'luong 9-2024'!AH20</f>
        <v>17805041</v>
      </c>
      <c r="G27" s="116"/>
      <c r="H27" s="109"/>
      <c r="I27" s="116"/>
      <c r="J27" s="116"/>
      <c r="K27" s="116"/>
      <c r="L27" s="116"/>
      <c r="M27" s="116"/>
      <c r="N27" s="116"/>
      <c r="O27" s="116"/>
      <c r="P27" s="281" t="s">
        <v>434</v>
      </c>
      <c r="Q27" s="281">
        <f>'luong 9-2024'!AJ20</f>
        <v>90474</v>
      </c>
    </row>
    <row r="28" spans="1:18" ht="19.5" customHeight="1" x14ac:dyDescent="0.3">
      <c r="A28" s="108" t="s">
        <v>103</v>
      </c>
      <c r="B28" s="109" t="s">
        <v>20</v>
      </c>
      <c r="C28" s="280">
        <v>5606205072278</v>
      </c>
      <c r="D28" s="109" t="s">
        <v>231</v>
      </c>
      <c r="E28" s="277">
        <f t="shared" si="1"/>
        <v>19662309</v>
      </c>
      <c r="F28" s="116">
        <f>'luong 9-2024'!AH21+228529+438512</f>
        <v>19662309</v>
      </c>
      <c r="G28" s="116"/>
      <c r="H28" s="109"/>
      <c r="I28" s="116"/>
      <c r="J28" s="116"/>
      <c r="K28" s="116"/>
      <c r="L28" s="116"/>
      <c r="M28" s="116"/>
      <c r="N28" s="116"/>
      <c r="O28" s="116"/>
      <c r="P28" s="281" t="s">
        <v>436</v>
      </c>
      <c r="Q28" s="281">
        <f>114265+228529+438512</f>
        <v>781306</v>
      </c>
    </row>
    <row r="29" spans="1:18" ht="19.5" customHeight="1" x14ac:dyDescent="0.3">
      <c r="A29" s="108" t="s">
        <v>142</v>
      </c>
      <c r="B29" s="109" t="s">
        <v>21</v>
      </c>
      <c r="C29" s="280">
        <v>5606215004860</v>
      </c>
      <c r="D29" s="109" t="s">
        <v>231</v>
      </c>
      <c r="E29" s="277">
        <f t="shared" si="1"/>
        <v>15735096</v>
      </c>
      <c r="F29" s="116">
        <f>'luong 9-2024'!AH22</f>
        <v>15735096</v>
      </c>
      <c r="G29" s="116"/>
      <c r="H29" s="109"/>
      <c r="I29" s="116"/>
      <c r="J29" s="116"/>
      <c r="K29" s="116"/>
      <c r="L29" s="116"/>
      <c r="M29" s="116"/>
      <c r="N29" s="116"/>
      <c r="O29" s="116"/>
      <c r="P29" s="281" t="s">
        <v>437</v>
      </c>
      <c r="Q29" s="281">
        <f>'luong 9-2024'!AJ22</f>
        <v>83772</v>
      </c>
    </row>
    <row r="30" spans="1:18" ht="19.5" customHeight="1" x14ac:dyDescent="0.3">
      <c r="A30" s="108" t="s">
        <v>143</v>
      </c>
      <c r="B30" s="109" t="s">
        <v>26</v>
      </c>
      <c r="C30" s="280">
        <v>5606205370177</v>
      </c>
      <c r="D30" s="109" t="s">
        <v>231</v>
      </c>
      <c r="E30" s="277">
        <f t="shared" si="1"/>
        <v>14267108</v>
      </c>
      <c r="F30" s="116">
        <f>'luong 9-2024'!AH23</f>
        <v>14267108</v>
      </c>
      <c r="G30" s="116"/>
      <c r="H30" s="109"/>
      <c r="I30" s="116"/>
      <c r="J30" s="116"/>
      <c r="K30" s="116"/>
      <c r="L30" s="116"/>
      <c r="M30" s="116"/>
      <c r="N30" s="116"/>
      <c r="O30" s="116"/>
      <c r="P30" s="281"/>
      <c r="Q30" s="281">
        <f>'luong 9-2024'!AJ23</f>
        <v>0</v>
      </c>
    </row>
    <row r="31" spans="1:18" ht="19.5" customHeight="1" x14ac:dyDescent="0.3">
      <c r="A31" s="108" t="s">
        <v>101</v>
      </c>
      <c r="B31" s="109" t="s">
        <v>94</v>
      </c>
      <c r="C31" s="280">
        <v>5606205371344</v>
      </c>
      <c r="D31" s="109" t="s">
        <v>231</v>
      </c>
      <c r="E31" s="277">
        <f t="shared" si="1"/>
        <v>14982797</v>
      </c>
      <c r="F31" s="116">
        <f>'luong 9-2024'!AH24</f>
        <v>14982797</v>
      </c>
      <c r="G31" s="116">
        <f>7574879+423067</f>
        <v>7997946</v>
      </c>
      <c r="H31" s="109"/>
      <c r="I31" s="116"/>
      <c r="J31" s="116"/>
      <c r="K31" s="116"/>
      <c r="L31" s="116"/>
      <c r="M31" s="116"/>
      <c r="N31" s="116"/>
      <c r="O31" s="116"/>
      <c r="P31" s="281"/>
      <c r="Q31" s="281">
        <f>'luong 9-2024'!AJ24</f>
        <v>0</v>
      </c>
      <c r="R31" s="49">
        <v>3683396</v>
      </c>
    </row>
    <row r="32" spans="1:18" ht="19.5" customHeight="1" x14ac:dyDescent="0.3">
      <c r="A32" s="108" t="s">
        <v>92</v>
      </c>
      <c r="B32" s="109" t="s">
        <v>88</v>
      </c>
      <c r="C32" s="280">
        <v>5606205370210</v>
      </c>
      <c r="D32" s="109" t="s">
        <v>231</v>
      </c>
      <c r="E32" s="277">
        <f t="shared" si="1"/>
        <v>14420412</v>
      </c>
      <c r="F32" s="116">
        <f>'luong 9-2024'!AH25</f>
        <v>14420412</v>
      </c>
      <c r="G32" s="116">
        <v>40350</v>
      </c>
      <c r="H32" s="109"/>
      <c r="I32" s="116"/>
      <c r="J32" s="116"/>
      <c r="K32" s="116"/>
      <c r="L32" s="116"/>
      <c r="M32" s="116"/>
      <c r="N32" s="116"/>
      <c r="O32" s="116"/>
      <c r="P32" s="281"/>
      <c r="Q32" s="281">
        <f>'luong 9-2024'!AJ25</f>
        <v>0</v>
      </c>
    </row>
    <row r="33" spans="1:20" ht="19.5" customHeight="1" x14ac:dyDescent="0.3">
      <c r="A33" s="108" t="s">
        <v>134</v>
      </c>
      <c r="B33" s="109" t="s">
        <v>10</v>
      </c>
      <c r="C33" s="276" t="s">
        <v>235</v>
      </c>
      <c r="D33" s="109" t="s">
        <v>231</v>
      </c>
      <c r="E33" s="277">
        <f t="shared" si="1"/>
        <v>15360458</v>
      </c>
      <c r="F33" s="116">
        <f>'luong 9-2024'!AH26</f>
        <v>15360458</v>
      </c>
      <c r="G33" s="116"/>
      <c r="H33" s="109"/>
      <c r="I33" s="116"/>
      <c r="J33" s="116"/>
      <c r="K33" s="116"/>
      <c r="L33" s="116"/>
      <c r="M33" s="116"/>
      <c r="N33" s="116"/>
      <c r="O33" s="116"/>
      <c r="P33" s="281" t="s">
        <v>435</v>
      </c>
      <c r="Q33" s="281">
        <f>'luong 9-2024'!AJ26</f>
        <v>76653</v>
      </c>
    </row>
    <row r="34" spans="1:20" ht="19.5" customHeight="1" x14ac:dyDescent="0.3">
      <c r="A34" s="108" t="s">
        <v>97</v>
      </c>
      <c r="B34" s="109" t="s">
        <v>95</v>
      </c>
      <c r="C34" s="276" t="s">
        <v>236</v>
      </c>
      <c r="D34" s="109" t="s">
        <v>231</v>
      </c>
      <c r="E34" s="277">
        <f t="shared" si="1"/>
        <v>14982797</v>
      </c>
      <c r="F34" s="116">
        <f>'luong 9-2024'!AH27</f>
        <v>14982797</v>
      </c>
      <c r="G34" s="116">
        <v>37714</v>
      </c>
      <c r="H34" s="109"/>
      <c r="I34" s="116"/>
      <c r="J34" s="116"/>
      <c r="K34" s="116"/>
      <c r="L34" s="116"/>
      <c r="M34" s="116"/>
      <c r="N34" s="116"/>
      <c r="O34" s="116"/>
      <c r="P34" s="281"/>
      <c r="Q34" s="281">
        <f>'luong 9-2024'!AJ27</f>
        <v>0</v>
      </c>
    </row>
    <row r="35" spans="1:20" ht="19.5" customHeight="1" x14ac:dyDescent="0.3">
      <c r="A35" s="108" t="s">
        <v>99</v>
      </c>
      <c r="B35" s="109" t="s">
        <v>22</v>
      </c>
      <c r="C35" s="280">
        <v>5606205371481</v>
      </c>
      <c r="D35" s="109" t="s">
        <v>231</v>
      </c>
      <c r="E35" s="277">
        <f t="shared" si="1"/>
        <v>12877001</v>
      </c>
      <c r="F35" s="116">
        <f>'luong 9-2024'!AH28</f>
        <v>12877001</v>
      </c>
      <c r="G35" s="116">
        <f>243850+6386313</f>
        <v>6630163</v>
      </c>
      <c r="H35" s="109"/>
      <c r="I35" s="116"/>
      <c r="J35" s="116"/>
      <c r="K35" s="116"/>
      <c r="L35" s="116"/>
      <c r="M35" s="116"/>
      <c r="N35" s="116"/>
      <c r="O35" s="116"/>
      <c r="P35" s="281"/>
      <c r="Q35" s="281">
        <f>'luong 9-2024'!AJ28</f>
        <v>0</v>
      </c>
    </row>
    <row r="36" spans="1:20" ht="19.5" customHeight="1" x14ac:dyDescent="0.3">
      <c r="A36" s="108" t="s">
        <v>91</v>
      </c>
      <c r="B36" s="109" t="s">
        <v>3</v>
      </c>
      <c r="C36" s="279" t="s">
        <v>237</v>
      </c>
      <c r="D36" s="109" t="s">
        <v>231</v>
      </c>
      <c r="E36" s="277">
        <f t="shared" si="1"/>
        <v>20185132</v>
      </c>
      <c r="F36" s="116">
        <f>'luong 9-2024'!AH29</f>
        <v>20185132</v>
      </c>
      <c r="G36" s="116"/>
      <c r="H36" s="109"/>
      <c r="I36" s="116"/>
      <c r="J36" s="116"/>
      <c r="K36" s="116"/>
      <c r="L36" s="116"/>
      <c r="M36" s="116"/>
      <c r="N36" s="116"/>
      <c r="O36" s="116"/>
      <c r="P36" s="281"/>
      <c r="Q36" s="281">
        <f>'luong 9-2024'!AJ29</f>
        <v>0</v>
      </c>
    </row>
    <row r="37" spans="1:20" ht="19.5" customHeight="1" x14ac:dyDescent="0.3">
      <c r="A37" s="108" t="s">
        <v>144</v>
      </c>
      <c r="B37" s="109" t="s">
        <v>67</v>
      </c>
      <c r="C37" s="279" t="s">
        <v>238</v>
      </c>
      <c r="D37" s="109" t="s">
        <v>231</v>
      </c>
      <c r="E37" s="277">
        <f t="shared" si="1"/>
        <v>20500534</v>
      </c>
      <c r="F37" s="116">
        <f>'luong 9-2024'!AH30</f>
        <v>20500534</v>
      </c>
      <c r="G37" s="116">
        <v>619369</v>
      </c>
      <c r="H37" s="109"/>
      <c r="I37" s="116"/>
      <c r="J37" s="116"/>
      <c r="K37" s="116"/>
      <c r="L37" s="116"/>
      <c r="M37" s="116"/>
      <c r="N37" s="116"/>
      <c r="O37" s="116"/>
      <c r="P37" s="281" t="s">
        <v>438</v>
      </c>
      <c r="Q37" s="281">
        <f>'luong 9-2024'!AJ30</f>
        <v>105134</v>
      </c>
      <c r="R37" s="49">
        <v>765952</v>
      </c>
      <c r="S37" s="49">
        <v>589194</v>
      </c>
      <c r="T37" s="122">
        <f>S37+R37</f>
        <v>1355146</v>
      </c>
    </row>
    <row r="38" spans="1:20" ht="19.5" customHeight="1" x14ac:dyDescent="0.3">
      <c r="A38" s="108" t="s">
        <v>145</v>
      </c>
      <c r="B38" s="109" t="s">
        <v>4</v>
      </c>
      <c r="C38" s="276" t="s">
        <v>239</v>
      </c>
      <c r="D38" s="109" t="s">
        <v>231</v>
      </c>
      <c r="E38" s="277">
        <f t="shared" si="1"/>
        <v>8699418</v>
      </c>
      <c r="F38" s="116">
        <f>'luong 9-2024'!AH31</f>
        <v>8699418</v>
      </c>
      <c r="G38" s="116">
        <v>527460</v>
      </c>
      <c r="H38" s="109"/>
      <c r="I38" s="116"/>
      <c r="J38" s="116"/>
      <c r="K38" s="116"/>
      <c r="L38" s="116"/>
      <c r="M38" s="116"/>
      <c r="N38" s="116"/>
      <c r="O38" s="116"/>
      <c r="P38" s="281"/>
      <c r="Q38" s="281">
        <f>'luong 9-2024'!AJ31</f>
        <v>0</v>
      </c>
    </row>
    <row r="39" spans="1:20" ht="19.5" customHeight="1" x14ac:dyDescent="0.3">
      <c r="A39" s="108" t="s">
        <v>146</v>
      </c>
      <c r="B39" s="109" t="s">
        <v>7</v>
      </c>
      <c r="C39" s="276" t="s">
        <v>240</v>
      </c>
      <c r="D39" s="109" t="s">
        <v>231</v>
      </c>
      <c r="E39" s="277">
        <f t="shared" si="1"/>
        <v>16070184</v>
      </c>
      <c r="F39" s="116">
        <f>'luong 9-2024'!AH32</f>
        <v>16070184</v>
      </c>
      <c r="G39" s="116">
        <f>754980+48263</f>
        <v>803243</v>
      </c>
      <c r="H39" s="109"/>
      <c r="I39" s="116"/>
      <c r="J39" s="116"/>
      <c r="K39" s="116"/>
      <c r="L39" s="116"/>
      <c r="M39" s="116"/>
      <c r="N39" s="116"/>
      <c r="O39" s="116"/>
      <c r="P39" s="281"/>
      <c r="Q39" s="281">
        <f>'luong 9-2024'!AJ32</f>
        <v>0</v>
      </c>
    </row>
    <row r="40" spans="1:20" ht="19.5" customHeight="1" x14ac:dyDescent="0.3">
      <c r="A40" s="108" t="s">
        <v>147</v>
      </c>
      <c r="B40" s="109" t="s">
        <v>8</v>
      </c>
      <c r="C40" s="279" t="s">
        <v>241</v>
      </c>
      <c r="D40" s="109" t="s">
        <v>231</v>
      </c>
      <c r="E40" s="277">
        <f t="shared" si="1"/>
        <v>20710802</v>
      </c>
      <c r="F40" s="116">
        <f>'luong 9-2024'!AH33</f>
        <v>20710802</v>
      </c>
      <c r="G40" s="116"/>
      <c r="H40" s="109"/>
      <c r="I40" s="116"/>
      <c r="J40" s="116"/>
      <c r="K40" s="116"/>
      <c r="L40" s="116"/>
      <c r="M40" s="116"/>
      <c r="N40" s="116"/>
      <c r="O40" s="116"/>
      <c r="P40" s="281" t="s">
        <v>439</v>
      </c>
      <c r="Q40" s="281">
        <f>'luong 9-2024'!AJ33</f>
        <v>105135</v>
      </c>
    </row>
    <row r="41" spans="1:20" ht="19.5" customHeight="1" x14ac:dyDescent="0.3">
      <c r="A41" s="108" t="s">
        <v>148</v>
      </c>
      <c r="B41" s="109" t="s">
        <v>116</v>
      </c>
      <c r="C41" s="279" t="s">
        <v>242</v>
      </c>
      <c r="D41" s="109" t="s">
        <v>231</v>
      </c>
      <c r="E41" s="277">
        <f t="shared" si="1"/>
        <v>20395400</v>
      </c>
      <c r="F41" s="116">
        <f>'luong 9-2024'!AH34</f>
        <v>20395400</v>
      </c>
      <c r="G41" s="116"/>
      <c r="H41" s="109"/>
      <c r="I41" s="116"/>
      <c r="J41" s="116"/>
      <c r="K41" s="116"/>
      <c r="L41" s="116"/>
      <c r="M41" s="116"/>
      <c r="N41" s="116"/>
      <c r="O41" s="116"/>
      <c r="P41" s="281" t="s">
        <v>438</v>
      </c>
      <c r="Q41" s="281">
        <f>'luong 9-2024'!AJ34</f>
        <v>105134</v>
      </c>
    </row>
    <row r="42" spans="1:20" ht="19.5" customHeight="1" x14ac:dyDescent="0.3">
      <c r="A42" s="108" t="s">
        <v>149</v>
      </c>
      <c r="B42" s="109" t="s">
        <v>11</v>
      </c>
      <c r="C42" s="276" t="s">
        <v>243</v>
      </c>
      <c r="D42" s="109" t="s">
        <v>231</v>
      </c>
      <c r="E42" s="277">
        <f t="shared" si="1"/>
        <v>11465532</v>
      </c>
      <c r="F42" s="116">
        <f>'luong 9-2024'!AH35</f>
        <v>11465532</v>
      </c>
      <c r="G42" s="116"/>
      <c r="H42" s="109"/>
      <c r="I42" s="116"/>
      <c r="J42" s="116"/>
      <c r="K42" s="116"/>
      <c r="L42" s="116"/>
      <c r="M42" s="116"/>
      <c r="N42" s="116"/>
      <c r="O42" s="116"/>
      <c r="P42" s="281"/>
      <c r="Q42" s="281">
        <f>'luong 9-2024'!AJ35</f>
        <v>0</v>
      </c>
    </row>
    <row r="43" spans="1:20" ht="19.5" customHeight="1" x14ac:dyDescent="0.3">
      <c r="A43" s="108" t="s">
        <v>150</v>
      </c>
      <c r="B43" s="109" t="s">
        <v>27</v>
      </c>
      <c r="C43" s="276" t="s">
        <v>244</v>
      </c>
      <c r="D43" s="109" t="s">
        <v>231</v>
      </c>
      <c r="E43" s="277">
        <f t="shared" si="1"/>
        <v>12877001</v>
      </c>
      <c r="F43" s="116">
        <f>'luong 9-2024'!AH36</f>
        <v>12877001</v>
      </c>
      <c r="G43" s="116"/>
      <c r="H43" s="109"/>
      <c r="I43" s="116"/>
      <c r="J43" s="116"/>
      <c r="K43" s="116"/>
      <c r="L43" s="116"/>
      <c r="M43" s="116"/>
      <c r="N43" s="116"/>
      <c r="O43" s="116"/>
      <c r="P43" s="281"/>
      <c r="Q43" s="281">
        <f>'luong 9-2024'!AJ36</f>
        <v>0</v>
      </c>
    </row>
    <row r="44" spans="1:20" ht="19.5" customHeight="1" x14ac:dyDescent="0.3">
      <c r="A44" s="108" t="s">
        <v>151</v>
      </c>
      <c r="B44" s="109" t="s">
        <v>77</v>
      </c>
      <c r="C44" s="280">
        <v>5606205371475</v>
      </c>
      <c r="D44" s="109" t="s">
        <v>231</v>
      </c>
      <c r="E44" s="277">
        <f t="shared" si="1"/>
        <v>20710802</v>
      </c>
      <c r="F44" s="116">
        <f>'luong 9-2024'!AH37</f>
        <v>20710802</v>
      </c>
      <c r="G44" s="116"/>
      <c r="H44" s="109"/>
      <c r="I44" s="116"/>
      <c r="J44" s="116"/>
      <c r="K44" s="116"/>
      <c r="L44" s="116"/>
      <c r="M44" s="116"/>
      <c r="N44" s="116"/>
      <c r="O44" s="116"/>
      <c r="P44" s="281" t="s">
        <v>439</v>
      </c>
      <c r="Q44" s="281">
        <f>'luong 9-2024'!AJ37</f>
        <v>105135</v>
      </c>
    </row>
    <row r="45" spans="1:20" ht="19.5" customHeight="1" x14ac:dyDescent="0.3">
      <c r="A45" s="108" t="s">
        <v>152</v>
      </c>
      <c r="B45" s="109" t="s">
        <v>71</v>
      </c>
      <c r="C45" s="279" t="s">
        <v>255</v>
      </c>
      <c r="D45" s="109" t="s">
        <v>231</v>
      </c>
      <c r="E45" s="277">
        <f t="shared" si="1"/>
        <v>18897255</v>
      </c>
      <c r="F45" s="116">
        <f>'luong 9-2024'!AH38</f>
        <v>18897255</v>
      </c>
      <c r="G45" s="116">
        <v>52613</v>
      </c>
      <c r="H45" s="109"/>
      <c r="I45" s="116"/>
      <c r="J45" s="116"/>
      <c r="K45" s="116"/>
      <c r="L45" s="116"/>
      <c r="M45" s="116"/>
      <c r="N45" s="116"/>
      <c r="O45" s="116"/>
      <c r="P45" s="281"/>
      <c r="Q45" s="281">
        <f>'luong 9-2024'!AJ38</f>
        <v>0</v>
      </c>
    </row>
    <row r="46" spans="1:20" ht="19.5" customHeight="1" x14ac:dyDescent="0.3">
      <c r="A46" s="108" t="s">
        <v>153</v>
      </c>
      <c r="B46" s="109" t="s">
        <v>72</v>
      </c>
      <c r="C46" s="280">
        <v>5606205370075</v>
      </c>
      <c r="D46" s="109" t="s">
        <v>231</v>
      </c>
      <c r="E46" s="277">
        <f t="shared" si="1"/>
        <v>18083524</v>
      </c>
      <c r="F46" s="116">
        <f>'luong 9-2024'!AH39</f>
        <v>18083524</v>
      </c>
      <c r="G46" s="116">
        <v>54855</v>
      </c>
      <c r="H46" s="109"/>
      <c r="I46" s="116"/>
      <c r="J46" s="116"/>
      <c r="K46" s="116"/>
      <c r="L46" s="116"/>
      <c r="M46" s="116"/>
      <c r="N46" s="116"/>
      <c r="O46" s="116"/>
      <c r="P46" s="281"/>
      <c r="Q46" s="281">
        <f>'luong 9-2024'!AJ39</f>
        <v>0</v>
      </c>
    </row>
    <row r="47" spans="1:20" ht="19.5" customHeight="1" x14ac:dyDescent="0.3">
      <c r="A47" s="108" t="s">
        <v>154</v>
      </c>
      <c r="B47" s="109" t="s">
        <v>12</v>
      </c>
      <c r="C47" s="279" t="s">
        <v>245</v>
      </c>
      <c r="D47" s="109" t="s">
        <v>231</v>
      </c>
      <c r="E47" s="277">
        <f t="shared" si="1"/>
        <v>7334496</v>
      </c>
      <c r="F47" s="116">
        <f>'luong 9-2024'!AH40</f>
        <v>7334496</v>
      </c>
      <c r="G47" s="116"/>
      <c r="H47" s="109"/>
      <c r="I47" s="116"/>
      <c r="J47" s="116"/>
      <c r="K47" s="116"/>
      <c r="L47" s="116"/>
      <c r="M47" s="116"/>
      <c r="N47" s="116"/>
      <c r="O47" s="116"/>
      <c r="P47" s="281"/>
      <c r="Q47" s="281">
        <f>'luong 9-2024'!AJ40</f>
        <v>0</v>
      </c>
    </row>
    <row r="48" spans="1:20" ht="19.5" customHeight="1" x14ac:dyDescent="0.3">
      <c r="A48" s="108" t="s">
        <v>155</v>
      </c>
      <c r="B48" s="282" t="s">
        <v>96</v>
      </c>
      <c r="C48" s="279">
        <v>5606205441609</v>
      </c>
      <c r="D48" s="109" t="s">
        <v>231</v>
      </c>
      <c r="E48" s="277">
        <f t="shared" si="1"/>
        <v>19450427</v>
      </c>
      <c r="F48" s="116">
        <f>'luong 9-2024'!AH41</f>
        <v>19450427</v>
      </c>
      <c r="G48" s="116" t="e">
        <f>'luong 9-2024'!AI41+#REF!</f>
        <v>#REF!</v>
      </c>
      <c r="H48" s="109"/>
      <c r="I48" s="116"/>
      <c r="J48" s="116"/>
      <c r="K48" s="116"/>
      <c r="L48" s="116"/>
      <c r="M48" s="116"/>
      <c r="N48" s="116"/>
      <c r="O48" s="116"/>
      <c r="P48" s="281"/>
      <c r="Q48" s="281">
        <f>'luong 9-2024'!AJ41</f>
        <v>0</v>
      </c>
    </row>
    <row r="49" spans="1:17" ht="19.5" customHeight="1" x14ac:dyDescent="0.3">
      <c r="A49" s="108" t="s">
        <v>156</v>
      </c>
      <c r="B49" s="282" t="s">
        <v>98</v>
      </c>
      <c r="C49" s="279" t="s">
        <v>246</v>
      </c>
      <c r="D49" s="109" t="s">
        <v>231</v>
      </c>
      <c r="E49" s="277">
        <f t="shared" si="1"/>
        <v>20833385</v>
      </c>
      <c r="F49" s="116">
        <f>'luong 9-2024'!AH42</f>
        <v>20833385</v>
      </c>
      <c r="G49" s="116" t="e">
        <f>'luong 9-2024'!AI42+#REF!</f>
        <v>#REF!</v>
      </c>
      <c r="H49" s="109"/>
      <c r="I49" s="116"/>
      <c r="J49" s="116"/>
      <c r="K49" s="116"/>
      <c r="L49" s="116"/>
      <c r="M49" s="116"/>
      <c r="N49" s="116"/>
      <c r="O49" s="116"/>
      <c r="P49" s="281"/>
      <c r="Q49" s="281">
        <f>'luong 9-2024'!AJ42</f>
        <v>0</v>
      </c>
    </row>
    <row r="50" spans="1:17" ht="19.5" customHeight="1" x14ac:dyDescent="0.3">
      <c r="A50" s="108" t="s">
        <v>157</v>
      </c>
      <c r="B50" s="282" t="s">
        <v>100</v>
      </c>
      <c r="C50" s="283">
        <v>5606215000830</v>
      </c>
      <c r="D50" s="109" t="s">
        <v>231</v>
      </c>
      <c r="E50" s="277">
        <f t="shared" si="1"/>
        <v>17518485</v>
      </c>
      <c r="F50" s="116">
        <f>'luong 9-2024'!AH43</f>
        <v>17518485</v>
      </c>
      <c r="G50" s="116" t="e">
        <f>'luong 9-2024'!AI43+#REF!</f>
        <v>#REF!</v>
      </c>
      <c r="H50" s="109"/>
      <c r="I50" s="116"/>
      <c r="J50" s="116"/>
      <c r="K50" s="116"/>
      <c r="L50" s="116"/>
      <c r="M50" s="116"/>
      <c r="N50" s="116"/>
      <c r="O50" s="116"/>
      <c r="P50" s="281"/>
      <c r="Q50" s="281">
        <f>'luong 9-2024'!AJ43</f>
        <v>0</v>
      </c>
    </row>
    <row r="51" spans="1:17" ht="19.5" customHeight="1" x14ac:dyDescent="0.3">
      <c r="A51" s="108" t="s">
        <v>158</v>
      </c>
      <c r="B51" s="166" t="s">
        <v>216</v>
      </c>
      <c r="C51" s="283">
        <v>5606215008139</v>
      </c>
      <c r="D51" s="109" t="s">
        <v>231</v>
      </c>
      <c r="E51" s="277">
        <f t="shared" si="1"/>
        <v>14724083</v>
      </c>
      <c r="F51" s="116">
        <f>'luong 9-2024'!AH44</f>
        <v>14724083</v>
      </c>
      <c r="G51" s="116" t="e">
        <f>'luong 9-2024'!AI44+#REF!</f>
        <v>#REF!</v>
      </c>
      <c r="H51" s="109"/>
      <c r="I51" s="116"/>
      <c r="J51" s="116"/>
      <c r="K51" s="116"/>
      <c r="L51" s="116"/>
      <c r="M51" s="116"/>
      <c r="N51" s="116"/>
      <c r="O51" s="116"/>
      <c r="P51" s="281"/>
      <c r="Q51" s="281">
        <f>'luong 9-2024'!AJ44</f>
        <v>0</v>
      </c>
    </row>
    <row r="52" spans="1:17" ht="19.5" customHeight="1" x14ac:dyDescent="0.3">
      <c r="A52" s="108" t="s">
        <v>159</v>
      </c>
      <c r="B52" s="282" t="s">
        <v>102</v>
      </c>
      <c r="C52" s="279" t="s">
        <v>247</v>
      </c>
      <c r="D52" s="109" t="s">
        <v>231</v>
      </c>
      <c r="E52" s="277">
        <f t="shared" si="1"/>
        <v>19869731</v>
      </c>
      <c r="F52" s="116">
        <f>'luong 9-2024'!AH45</f>
        <v>19869731</v>
      </c>
      <c r="G52" s="116" t="e">
        <f>'luong 9-2024'!AI45+#REF!</f>
        <v>#REF!</v>
      </c>
      <c r="H52" s="109"/>
      <c r="I52" s="116"/>
      <c r="J52" s="116"/>
      <c r="K52" s="116"/>
      <c r="L52" s="116"/>
      <c r="M52" s="116"/>
      <c r="N52" s="116"/>
      <c r="O52" s="116"/>
      <c r="P52" s="281" t="s">
        <v>440</v>
      </c>
      <c r="Q52" s="281">
        <f>'luong 9-2024'!AJ45</f>
        <v>105133</v>
      </c>
    </row>
    <row r="53" spans="1:17" ht="19.5" customHeight="1" x14ac:dyDescent="0.3">
      <c r="A53" s="108" t="s">
        <v>160</v>
      </c>
      <c r="B53" s="282" t="s">
        <v>104</v>
      </c>
      <c r="C53" s="283">
        <v>5606215000817</v>
      </c>
      <c r="D53" s="109" t="s">
        <v>231</v>
      </c>
      <c r="E53" s="277">
        <f t="shared" si="1"/>
        <v>16107460</v>
      </c>
      <c r="F53" s="116">
        <f>'luong 9-2024'!AH46</f>
        <v>16107460</v>
      </c>
      <c r="G53" s="116" t="e">
        <f>'luong 9-2024'!AI46+#REF!</f>
        <v>#REF!</v>
      </c>
      <c r="H53" s="109"/>
      <c r="I53" s="116"/>
      <c r="J53" s="116"/>
      <c r="K53" s="116"/>
      <c r="L53" s="116"/>
      <c r="M53" s="116"/>
      <c r="N53" s="116"/>
      <c r="O53" s="116"/>
      <c r="P53" s="281"/>
      <c r="Q53" s="281">
        <f>'luong 9-2024'!AJ46</f>
        <v>0</v>
      </c>
    </row>
    <row r="54" spans="1:17" ht="19.5" customHeight="1" x14ac:dyDescent="0.3">
      <c r="A54" s="108" t="s">
        <v>161</v>
      </c>
      <c r="B54" s="282" t="s">
        <v>107</v>
      </c>
      <c r="C54" s="283">
        <v>5606205370227</v>
      </c>
      <c r="D54" s="109" t="s">
        <v>231</v>
      </c>
      <c r="E54" s="277">
        <f t="shared" si="1"/>
        <v>13550107</v>
      </c>
      <c r="F54" s="116">
        <f>'luong 9-2024'!AH47</f>
        <v>13550107</v>
      </c>
      <c r="G54" s="116" t="e">
        <f>'luong 9-2024'!AI47+#REF!</f>
        <v>#REF!</v>
      </c>
      <c r="H54" s="109"/>
      <c r="I54" s="116"/>
      <c r="J54" s="116"/>
      <c r="K54" s="116"/>
      <c r="L54" s="116"/>
      <c r="M54" s="116"/>
      <c r="N54" s="116"/>
      <c r="O54" s="116"/>
      <c r="P54" s="281"/>
      <c r="Q54" s="281">
        <f>'luong 9-2024'!AJ47</f>
        <v>0</v>
      </c>
    </row>
    <row r="55" spans="1:17" ht="19.5" customHeight="1" x14ac:dyDescent="0.3">
      <c r="A55" s="108" t="s">
        <v>162</v>
      </c>
      <c r="B55" s="282" t="s">
        <v>110</v>
      </c>
      <c r="C55" s="284" t="s">
        <v>248</v>
      </c>
      <c r="D55" s="109" t="s">
        <v>231</v>
      </c>
      <c r="E55" s="277">
        <f t="shared" si="1"/>
        <v>12737521</v>
      </c>
      <c r="F55" s="116">
        <f>'luong 9-2024'!AH48</f>
        <v>12737521</v>
      </c>
      <c r="G55" s="116" t="e">
        <f>'luong 9-2024'!AI48+#REF!</f>
        <v>#REF!</v>
      </c>
      <c r="H55" s="109"/>
      <c r="I55" s="116"/>
      <c r="J55" s="116"/>
      <c r="K55" s="116"/>
      <c r="L55" s="116"/>
      <c r="M55" s="116"/>
      <c r="N55" s="116"/>
      <c r="O55" s="116"/>
      <c r="P55" s="281"/>
      <c r="Q55" s="281">
        <f>'luong 9-2024'!AJ48</f>
        <v>0</v>
      </c>
    </row>
    <row r="56" spans="1:17" ht="19.5" customHeight="1" x14ac:dyDescent="0.3">
      <c r="A56" s="108" t="s">
        <v>163</v>
      </c>
      <c r="B56" s="282" t="s">
        <v>112</v>
      </c>
      <c r="C56" s="283">
        <v>5606205170748</v>
      </c>
      <c r="D56" s="109" t="s">
        <v>231</v>
      </c>
      <c r="E56" s="277">
        <f t="shared" si="1"/>
        <v>3123900</v>
      </c>
      <c r="F56" s="116">
        <f>'luong 9-2024'!AH49</f>
        <v>3123900</v>
      </c>
      <c r="G56" s="116" t="e">
        <f>'luong 9-2024'!AI49+#REF!</f>
        <v>#REF!</v>
      </c>
      <c r="H56" s="109"/>
      <c r="I56" s="116"/>
      <c r="J56" s="116"/>
      <c r="K56" s="116"/>
      <c r="L56" s="116"/>
      <c r="M56" s="116"/>
      <c r="N56" s="116"/>
      <c r="O56" s="116"/>
      <c r="P56" s="281"/>
      <c r="Q56" s="281">
        <f>'luong 9-2024'!AJ49</f>
        <v>0</v>
      </c>
    </row>
    <row r="57" spans="1:17" ht="19.5" customHeight="1" x14ac:dyDescent="0.3">
      <c r="A57" s="108" t="s">
        <v>164</v>
      </c>
      <c r="B57" s="282" t="s">
        <v>173</v>
      </c>
      <c r="C57" s="284" t="s">
        <v>249</v>
      </c>
      <c r="D57" s="109" t="s">
        <v>231</v>
      </c>
      <c r="E57" s="277">
        <f t="shared" si="1"/>
        <v>9069138</v>
      </c>
      <c r="F57" s="116">
        <f>'luong 9-2024'!AH50</f>
        <v>9069138</v>
      </c>
      <c r="G57" s="116"/>
      <c r="H57" s="109"/>
      <c r="I57" s="116"/>
      <c r="J57" s="116"/>
      <c r="K57" s="116"/>
      <c r="L57" s="116"/>
      <c r="M57" s="116"/>
      <c r="N57" s="116"/>
      <c r="O57" s="116"/>
      <c r="P57" s="281">
        <v>0</v>
      </c>
      <c r="Q57" s="281">
        <f>'luong 9-2024'!AJ50</f>
        <v>0</v>
      </c>
    </row>
    <row r="58" spans="1:17" ht="19.5" customHeight="1" x14ac:dyDescent="0.3">
      <c r="A58" s="108" t="s">
        <v>165</v>
      </c>
      <c r="B58" s="282" t="s">
        <v>114</v>
      </c>
      <c r="C58" s="283">
        <v>5606215000852</v>
      </c>
      <c r="D58" s="109" t="s">
        <v>231</v>
      </c>
      <c r="E58" s="277">
        <f t="shared" si="1"/>
        <v>9394983</v>
      </c>
      <c r="F58" s="116">
        <f>'luong 9-2024'!AH51</f>
        <v>9394983</v>
      </c>
      <c r="G58" s="116"/>
      <c r="H58" s="109"/>
      <c r="I58" s="116"/>
      <c r="J58" s="116"/>
      <c r="K58" s="116"/>
      <c r="L58" s="116"/>
      <c r="M58" s="116"/>
      <c r="N58" s="116"/>
      <c r="O58" s="116"/>
      <c r="P58" s="281">
        <v>0</v>
      </c>
      <c r="Q58" s="281">
        <f>'luong 9-2024'!AJ51</f>
        <v>0</v>
      </c>
    </row>
    <row r="59" spans="1:17" ht="19.5" customHeight="1" x14ac:dyDescent="0.3">
      <c r="A59" s="108" t="s">
        <v>166</v>
      </c>
      <c r="B59" s="109" t="s">
        <v>222</v>
      </c>
      <c r="C59" s="284" t="s">
        <v>224</v>
      </c>
      <c r="D59" s="109" t="s">
        <v>231</v>
      </c>
      <c r="E59" s="277">
        <f t="shared" si="1"/>
        <v>11339874</v>
      </c>
      <c r="F59" s="116">
        <f>'luong 9-2024'!AH52</f>
        <v>11339874</v>
      </c>
      <c r="G59" s="116"/>
      <c r="H59" s="109"/>
      <c r="I59" s="116"/>
      <c r="J59" s="116"/>
      <c r="K59" s="116"/>
      <c r="L59" s="116"/>
      <c r="M59" s="116"/>
      <c r="N59" s="116"/>
      <c r="O59" s="116"/>
      <c r="P59" s="281"/>
      <c r="Q59" s="281">
        <f>'luong 9-2024'!AJ52</f>
        <v>0</v>
      </c>
    </row>
    <row r="60" spans="1:17" ht="19.5" customHeight="1" x14ac:dyDescent="0.3">
      <c r="A60" s="108" t="s">
        <v>167</v>
      </c>
      <c r="B60" s="109" t="s">
        <v>282</v>
      </c>
      <c r="C60" s="285" t="s">
        <v>288</v>
      </c>
      <c r="D60" s="109" t="s">
        <v>231</v>
      </c>
      <c r="E60" s="277">
        <f t="shared" si="1"/>
        <v>17443146</v>
      </c>
      <c r="F60" s="116">
        <f>'luong 9-2024'!AH53</f>
        <v>17443146</v>
      </c>
      <c r="G60" s="200"/>
      <c r="H60" s="192"/>
      <c r="I60" s="200"/>
      <c r="J60" s="200"/>
      <c r="K60" s="116"/>
      <c r="L60" s="116"/>
      <c r="M60" s="116"/>
      <c r="N60" s="200"/>
      <c r="O60" s="116"/>
      <c r="P60" s="281"/>
      <c r="Q60" s="281">
        <f>'luong 9-2024'!AJ53</f>
        <v>0</v>
      </c>
    </row>
    <row r="61" spans="1:17" ht="19.5" customHeight="1" x14ac:dyDescent="0.3">
      <c r="A61" s="108" t="s">
        <v>168</v>
      </c>
      <c r="B61" s="109" t="s">
        <v>284</v>
      </c>
      <c r="C61" s="285" t="s">
        <v>287</v>
      </c>
      <c r="D61" s="109" t="s">
        <v>231</v>
      </c>
      <c r="E61" s="277">
        <f t="shared" si="1"/>
        <v>18897255</v>
      </c>
      <c r="F61" s="116">
        <f>'luong 9-2024'!AH54</f>
        <v>18897255</v>
      </c>
      <c r="G61" s="200"/>
      <c r="H61" s="192"/>
      <c r="I61" s="200"/>
      <c r="J61" s="200"/>
      <c r="K61" s="116"/>
      <c r="L61" s="116"/>
      <c r="M61" s="116"/>
      <c r="N61" s="200"/>
      <c r="O61" s="116"/>
      <c r="P61" s="281" t="s">
        <v>441</v>
      </c>
      <c r="Q61" s="281">
        <f>'luong 9-2024'!AJ54</f>
        <v>98013</v>
      </c>
    </row>
    <row r="62" spans="1:17" ht="19.5" customHeight="1" x14ac:dyDescent="0.3">
      <c r="A62" s="108" t="s">
        <v>169</v>
      </c>
      <c r="B62" s="109" t="s">
        <v>283</v>
      </c>
      <c r="C62" s="285" t="s">
        <v>286</v>
      </c>
      <c r="D62" s="109" t="s">
        <v>231</v>
      </c>
      <c r="E62" s="277">
        <f t="shared" si="1"/>
        <v>15782246</v>
      </c>
      <c r="F62" s="116">
        <f>'luong 9-2024'!AH55</f>
        <v>15782246</v>
      </c>
      <c r="G62" s="200"/>
      <c r="H62" s="192"/>
      <c r="I62" s="200"/>
      <c r="J62" s="200"/>
      <c r="K62" s="116"/>
      <c r="L62" s="116"/>
      <c r="M62" s="116"/>
      <c r="N62" s="200"/>
      <c r="O62" s="116"/>
      <c r="P62" s="281"/>
      <c r="Q62" s="281">
        <f>'luong 9-2024'!AJ55</f>
        <v>0</v>
      </c>
    </row>
    <row r="63" spans="1:17" ht="19.5" customHeight="1" x14ac:dyDescent="0.3">
      <c r="A63" s="108" t="s">
        <v>170</v>
      </c>
      <c r="B63" s="177" t="s">
        <v>230</v>
      </c>
      <c r="C63" s="286" t="s">
        <v>226</v>
      </c>
      <c r="D63" s="109" t="s">
        <v>231</v>
      </c>
      <c r="E63" s="277">
        <f t="shared" si="1"/>
        <v>8808462</v>
      </c>
      <c r="F63" s="116">
        <f>'luong 9-2024'!AH56</f>
        <v>8808462</v>
      </c>
      <c r="G63" s="287"/>
      <c r="H63" s="288"/>
      <c r="I63" s="287"/>
      <c r="J63" s="287"/>
      <c r="K63" s="116"/>
      <c r="L63" s="116"/>
      <c r="M63" s="116"/>
      <c r="N63" s="287"/>
      <c r="O63" s="116"/>
      <c r="P63" s="281"/>
      <c r="Q63" s="281">
        <f>'luong 9-2024'!AJ56</f>
        <v>0</v>
      </c>
    </row>
    <row r="64" spans="1:17" ht="19.5" customHeight="1" x14ac:dyDescent="0.3">
      <c r="A64" s="108" t="s">
        <v>171</v>
      </c>
      <c r="B64" s="177" t="s">
        <v>223</v>
      </c>
      <c r="C64" s="286" t="s">
        <v>225</v>
      </c>
      <c r="D64" s="109" t="s">
        <v>231</v>
      </c>
      <c r="E64" s="277">
        <f t="shared" ref="E64:E65" si="2">F64+H64</f>
        <v>8025030</v>
      </c>
      <c r="F64" s="116">
        <f>'luong 9-2024'!AH57</f>
        <v>8025030</v>
      </c>
      <c r="G64" s="287"/>
      <c r="H64" s="288"/>
      <c r="I64" s="287"/>
      <c r="J64" s="287"/>
      <c r="K64" s="116"/>
      <c r="L64" s="116"/>
      <c r="M64" s="116"/>
      <c r="N64" s="287"/>
      <c r="O64" s="287"/>
      <c r="P64" s="281"/>
      <c r="Q64" s="281">
        <f>'luong 9-2024'!AJ57</f>
        <v>0</v>
      </c>
    </row>
    <row r="65" spans="1:17" ht="19.5" customHeight="1" x14ac:dyDescent="0.3">
      <c r="A65" s="412">
        <v>50</v>
      </c>
      <c r="B65" s="177" t="s">
        <v>369</v>
      </c>
      <c r="C65" s="639" t="s">
        <v>447</v>
      </c>
      <c r="D65" s="109" t="s">
        <v>231</v>
      </c>
      <c r="E65" s="277">
        <f t="shared" si="2"/>
        <v>30129840</v>
      </c>
      <c r="F65" s="116">
        <f>'luong 9-2024'!AH58*2</f>
        <v>30129840</v>
      </c>
      <c r="G65" s="422"/>
      <c r="H65" s="413"/>
      <c r="I65" s="422"/>
      <c r="J65" s="422"/>
      <c r="K65" s="422"/>
      <c r="L65" s="422"/>
      <c r="M65" s="422"/>
      <c r="N65" s="422"/>
      <c r="O65" s="422"/>
      <c r="P65" s="427" t="s">
        <v>442</v>
      </c>
      <c r="Q65" s="281">
        <v>30129840</v>
      </c>
    </row>
    <row r="66" spans="1:17" ht="39" customHeight="1" x14ac:dyDescent="0.3">
      <c r="A66" s="289" t="s">
        <v>86</v>
      </c>
      <c r="B66" s="686" t="s">
        <v>299</v>
      </c>
      <c r="C66" s="687"/>
      <c r="D66" s="688"/>
      <c r="E66" s="290">
        <f>SUM(E67:E70)</f>
        <v>22230234</v>
      </c>
      <c r="F66" s="290">
        <f t="shared" ref="F66:H66" si="3">SUM(F67:F70)</f>
        <v>0</v>
      </c>
      <c r="G66" s="290">
        <f t="shared" si="3"/>
        <v>0</v>
      </c>
      <c r="H66" s="290">
        <f t="shared" si="3"/>
        <v>22230234</v>
      </c>
      <c r="I66" s="200"/>
      <c r="J66" s="200"/>
      <c r="K66" s="200"/>
      <c r="L66" s="200"/>
      <c r="M66" s="200"/>
      <c r="N66" s="200"/>
      <c r="O66" s="200"/>
      <c r="P66" s="281"/>
      <c r="Q66" s="281"/>
    </row>
    <row r="67" spans="1:17" ht="19.5" customHeight="1" x14ac:dyDescent="0.3">
      <c r="A67" s="108" t="s">
        <v>137</v>
      </c>
      <c r="B67" s="192" t="s">
        <v>6</v>
      </c>
      <c r="C67" s="291">
        <v>5606205339784</v>
      </c>
      <c r="D67" s="192" t="s">
        <v>231</v>
      </c>
      <c r="E67" s="292">
        <f>H67</f>
        <v>6573294</v>
      </c>
      <c r="F67" s="200"/>
      <c r="G67" s="200"/>
      <c r="H67" s="200">
        <f>'luong 9-2024'!AH60</f>
        <v>6573294</v>
      </c>
      <c r="I67" s="200"/>
      <c r="J67" s="200"/>
      <c r="K67" s="200"/>
      <c r="L67" s="200"/>
      <c r="M67" s="200"/>
      <c r="N67" s="200"/>
      <c r="O67" s="200"/>
      <c r="P67" s="281"/>
      <c r="Q67" s="281"/>
    </row>
    <row r="68" spans="1:17" ht="19.5" customHeight="1" x14ac:dyDescent="0.3">
      <c r="A68" s="108" t="s">
        <v>138</v>
      </c>
      <c r="B68" s="192" t="s">
        <v>172</v>
      </c>
      <c r="C68" s="293" t="s">
        <v>250</v>
      </c>
      <c r="D68" s="192" t="s">
        <v>231</v>
      </c>
      <c r="E68" s="292">
        <f t="shared" ref="E68:E69" si="4">H68</f>
        <v>5442372</v>
      </c>
      <c r="F68" s="200"/>
      <c r="G68" s="200"/>
      <c r="H68" s="200">
        <f>'luong 9-2024'!AH61</f>
        <v>5442372</v>
      </c>
      <c r="I68" s="200"/>
      <c r="J68" s="200"/>
      <c r="K68" s="200"/>
      <c r="L68" s="200"/>
      <c r="M68" s="200"/>
      <c r="N68" s="200"/>
      <c r="O68" s="200"/>
      <c r="P68" s="281"/>
      <c r="Q68" s="281"/>
    </row>
    <row r="69" spans="1:17" ht="27" customHeight="1" x14ac:dyDescent="0.3">
      <c r="A69" s="108" t="s">
        <v>139</v>
      </c>
      <c r="B69" s="192" t="s">
        <v>227</v>
      </c>
      <c r="C69" s="294" t="s">
        <v>293</v>
      </c>
      <c r="D69" s="192" t="s">
        <v>231</v>
      </c>
      <c r="E69" s="292">
        <f t="shared" si="4"/>
        <v>5065398</v>
      </c>
      <c r="F69" s="200"/>
      <c r="G69" s="200"/>
      <c r="H69" s="200">
        <f>'luong 9-2024'!AH62</f>
        <v>5065398</v>
      </c>
      <c r="I69" s="200"/>
      <c r="J69" s="200"/>
      <c r="K69" s="200"/>
      <c r="L69" s="200"/>
      <c r="M69" s="200"/>
      <c r="N69" s="200"/>
      <c r="O69" s="200"/>
      <c r="P69" s="389"/>
      <c r="Q69" s="281"/>
    </row>
    <row r="70" spans="1:17" ht="27" customHeight="1" x14ac:dyDescent="0.3">
      <c r="A70" s="108" t="s">
        <v>140</v>
      </c>
      <c r="B70" s="192" t="s">
        <v>228</v>
      </c>
      <c r="C70" s="294" t="s">
        <v>294</v>
      </c>
      <c r="D70" s="192" t="s">
        <v>231</v>
      </c>
      <c r="E70" s="292">
        <f t="shared" ref="E70" si="5">H70</f>
        <v>5149170</v>
      </c>
      <c r="F70" s="290"/>
      <c r="G70" s="290"/>
      <c r="H70" s="200">
        <f>'luong 9-2024'!AH63</f>
        <v>5149170</v>
      </c>
      <c r="I70" s="290"/>
      <c r="J70" s="290"/>
      <c r="K70" s="290"/>
      <c r="L70" s="290"/>
      <c r="M70" s="290"/>
      <c r="N70" s="290"/>
      <c r="O70" s="290"/>
      <c r="P70" s="389"/>
      <c r="Q70" s="281"/>
    </row>
    <row r="71" spans="1:17" ht="45.75" customHeight="1" x14ac:dyDescent="0.3">
      <c r="A71" s="349" t="s">
        <v>303</v>
      </c>
      <c r="B71" s="667" t="s">
        <v>305</v>
      </c>
      <c r="C71" s="668"/>
      <c r="D71" s="669"/>
      <c r="E71" s="295"/>
      <c r="F71" s="296"/>
      <c r="G71" s="296"/>
      <c r="H71" s="296"/>
      <c r="I71" s="296"/>
      <c r="J71" s="296"/>
      <c r="K71" s="296"/>
      <c r="L71" s="296"/>
      <c r="M71" s="296"/>
      <c r="N71" s="296"/>
      <c r="O71" s="296"/>
      <c r="P71" s="281"/>
      <c r="Q71" s="278"/>
    </row>
    <row r="72" spans="1:17" ht="18.75" customHeight="1" x14ac:dyDescent="0.3">
      <c r="A72" s="241"/>
      <c r="B72" s="679" t="s">
        <v>444</v>
      </c>
      <c r="C72" s="679"/>
      <c r="D72" s="679"/>
      <c r="E72" s="679"/>
      <c r="F72" s="679"/>
      <c r="G72" s="679"/>
      <c r="H72" s="679"/>
      <c r="I72" s="679"/>
      <c r="J72" s="679"/>
      <c r="K72" s="679"/>
      <c r="L72" s="679"/>
      <c r="M72" s="679"/>
      <c r="N72" s="679"/>
      <c r="O72" s="679"/>
      <c r="P72" s="679"/>
      <c r="Q72" s="679"/>
    </row>
    <row r="73" spans="1:17" x14ac:dyDescent="0.3">
      <c r="A73" s="241"/>
      <c r="B73" s="675" t="s">
        <v>87</v>
      </c>
      <c r="C73" s="675"/>
      <c r="D73" s="675"/>
      <c r="E73" s="675"/>
      <c r="F73" s="675"/>
      <c r="G73" s="675"/>
      <c r="H73" s="675"/>
      <c r="I73" s="675"/>
      <c r="J73" s="675"/>
      <c r="K73" s="675"/>
      <c r="L73" s="675"/>
      <c r="M73" s="675"/>
      <c r="N73" s="675"/>
      <c r="O73" s="675"/>
      <c r="P73" s="675"/>
      <c r="Q73" s="510"/>
    </row>
    <row r="74" spans="1:17" x14ac:dyDescent="0.3">
      <c r="A74" s="341" t="s">
        <v>430</v>
      </c>
      <c r="B74" s="510"/>
      <c r="C74" s="510"/>
      <c r="D74" s="510"/>
      <c r="E74" s="510"/>
      <c r="F74" s="297"/>
      <c r="G74" s="510"/>
      <c r="H74" s="510"/>
      <c r="I74" s="510"/>
      <c r="J74" s="510"/>
      <c r="K74" s="297"/>
      <c r="L74" s="510"/>
      <c r="M74" s="510"/>
      <c r="N74" s="510"/>
      <c r="O74" s="510"/>
      <c r="P74" s="298"/>
      <c r="Q74" s="298"/>
    </row>
    <row r="75" spans="1:17" ht="16.5" customHeight="1" x14ac:dyDescent="0.3">
      <c r="A75" s="341" t="s">
        <v>431</v>
      </c>
      <c r="B75" s="510"/>
      <c r="C75" s="510"/>
      <c r="D75" s="510"/>
      <c r="E75" s="510"/>
      <c r="F75" s="297"/>
      <c r="G75" s="510"/>
      <c r="H75" s="297"/>
      <c r="I75" s="510"/>
      <c r="J75" s="510"/>
      <c r="K75" s="297"/>
      <c r="L75" s="510"/>
      <c r="M75" s="510"/>
      <c r="N75" s="297"/>
      <c r="O75" s="510"/>
      <c r="P75" s="298"/>
      <c r="Q75" s="298"/>
    </row>
    <row r="76" spans="1:17" ht="15.75" customHeight="1" x14ac:dyDescent="0.3">
      <c r="A76" s="510" t="s">
        <v>316</v>
      </c>
      <c r="B76" s="510"/>
      <c r="C76" s="510"/>
      <c r="D76" s="510"/>
      <c r="E76" s="510"/>
      <c r="F76" s="510"/>
      <c r="G76" s="510"/>
      <c r="H76" s="510"/>
      <c r="I76" s="510"/>
      <c r="J76" s="510"/>
      <c r="K76" s="510"/>
      <c r="L76" s="510"/>
      <c r="M76" s="510"/>
      <c r="N76" s="510"/>
      <c r="O76" s="510"/>
      <c r="P76" s="348"/>
      <c r="Q76" s="298"/>
    </row>
    <row r="77" spans="1:17" ht="15.75" customHeight="1" x14ac:dyDescent="0.3">
      <c r="A77" s="510"/>
      <c r="B77" s="341" t="s">
        <v>427</v>
      </c>
      <c r="C77" s="510"/>
      <c r="D77" s="510"/>
      <c r="E77" s="510"/>
      <c r="F77" s="510"/>
      <c r="G77" s="510"/>
      <c r="H77" s="510"/>
      <c r="I77" s="510"/>
      <c r="J77" s="510"/>
      <c r="K77" s="297"/>
      <c r="L77" s="510"/>
      <c r="M77" s="510"/>
      <c r="N77" s="510"/>
      <c r="O77" s="510"/>
      <c r="P77" s="298"/>
      <c r="Q77" s="298"/>
    </row>
    <row r="78" spans="1:17" ht="15.75" customHeight="1" x14ac:dyDescent="0.3">
      <c r="A78" s="510"/>
      <c r="B78" s="341" t="s">
        <v>432</v>
      </c>
      <c r="C78" s="510"/>
      <c r="D78" s="510"/>
      <c r="E78" s="510"/>
      <c r="F78" s="510"/>
      <c r="G78" s="510"/>
      <c r="H78" s="510"/>
      <c r="I78" s="510"/>
      <c r="J78" s="510"/>
      <c r="K78" s="297"/>
      <c r="L78" s="510"/>
      <c r="M78" s="510"/>
      <c r="N78" s="510"/>
      <c r="O78" s="510"/>
      <c r="P78" s="298"/>
      <c r="Q78" s="298"/>
    </row>
    <row r="79" spans="1:17" ht="15.75" customHeight="1" x14ac:dyDescent="0.3">
      <c r="A79" s="510"/>
      <c r="B79" s="341" t="s">
        <v>426</v>
      </c>
      <c r="C79" s="510"/>
      <c r="D79" s="510"/>
      <c r="E79" s="510"/>
      <c r="F79" s="510"/>
      <c r="G79" s="510"/>
      <c r="H79" s="510"/>
      <c r="I79" s="510"/>
      <c r="J79" s="510"/>
      <c r="K79" s="510"/>
      <c r="L79" s="510"/>
      <c r="M79" s="510"/>
      <c r="N79" s="510"/>
      <c r="O79" s="510"/>
      <c r="P79" s="298"/>
      <c r="Q79" s="298"/>
    </row>
    <row r="80" spans="1:17" ht="15.75" customHeight="1" x14ac:dyDescent="0.3">
      <c r="A80" s="510"/>
      <c r="B80" s="341" t="s">
        <v>428</v>
      </c>
      <c r="C80" s="510"/>
      <c r="D80" s="510"/>
      <c r="E80" s="510"/>
      <c r="F80" s="510"/>
      <c r="G80" s="510"/>
      <c r="H80" s="510"/>
      <c r="I80" s="510"/>
      <c r="J80" s="510"/>
      <c r="K80" s="510"/>
      <c r="L80" s="510"/>
      <c r="M80" s="510"/>
      <c r="N80" s="510"/>
      <c r="O80" s="510"/>
      <c r="P80" s="298"/>
      <c r="Q80" s="298"/>
    </row>
    <row r="81" spans="1:17" ht="15.75" customHeight="1" x14ac:dyDescent="0.3">
      <c r="A81" s="510"/>
      <c r="B81" s="341" t="s">
        <v>429</v>
      </c>
      <c r="C81" s="510"/>
      <c r="D81" s="510"/>
      <c r="E81" s="510"/>
      <c r="F81" s="510"/>
      <c r="G81" s="510"/>
      <c r="H81" s="510"/>
      <c r="I81" s="510"/>
      <c r="J81" s="510"/>
      <c r="K81" s="510"/>
      <c r="L81" s="510"/>
      <c r="M81" s="510"/>
      <c r="N81" s="297"/>
      <c r="O81" s="510"/>
      <c r="P81" s="348"/>
      <c r="Q81" s="298"/>
    </row>
    <row r="82" spans="1:17" ht="21" customHeight="1" x14ac:dyDescent="0.3">
      <c r="A82" s="299"/>
      <c r="B82" s="341"/>
      <c r="D82" s="122"/>
      <c r="E82" s="144"/>
      <c r="F82" s="301"/>
      <c r="G82" s="302"/>
      <c r="H82" s="144"/>
      <c r="I82" s="670" t="s">
        <v>443</v>
      </c>
      <c r="J82" s="670"/>
      <c r="K82" s="670"/>
      <c r="L82" s="670"/>
      <c r="M82" s="670"/>
      <c r="N82" s="670"/>
      <c r="O82" s="670"/>
      <c r="P82" s="670"/>
      <c r="Q82" s="500"/>
    </row>
    <row r="83" spans="1:17" x14ac:dyDescent="0.3">
      <c r="A83" s="241"/>
      <c r="B83" s="660" t="s">
        <v>64</v>
      </c>
      <c r="C83" s="660"/>
      <c r="D83" s="303"/>
      <c r="E83" s="660" t="s">
        <v>23</v>
      </c>
      <c r="F83" s="660"/>
      <c r="G83" s="660"/>
      <c r="H83" s="501"/>
      <c r="I83" s="660" t="s">
        <v>65</v>
      </c>
      <c r="J83" s="660"/>
      <c r="K83" s="660"/>
      <c r="L83" s="660"/>
      <c r="M83" s="660"/>
      <c r="N83" s="660"/>
      <c r="O83" s="660"/>
      <c r="P83" s="660"/>
      <c r="Q83" s="501"/>
    </row>
    <row r="84" spans="1:17" x14ac:dyDescent="0.3">
      <c r="A84" s="241"/>
      <c r="B84" s="674" t="s">
        <v>273</v>
      </c>
      <c r="C84" s="674"/>
      <c r="D84" s="304"/>
      <c r="E84" s="685" t="s">
        <v>273</v>
      </c>
      <c r="F84" s="685"/>
      <c r="G84" s="685"/>
      <c r="H84" s="305"/>
      <c r="I84" s="674" t="s">
        <v>274</v>
      </c>
      <c r="J84" s="674"/>
      <c r="K84" s="674"/>
      <c r="L84" s="674"/>
      <c r="M84" s="674"/>
      <c r="N84" s="674"/>
      <c r="O84" s="674"/>
      <c r="P84" s="674"/>
      <c r="Q84" s="509"/>
    </row>
    <row r="85" spans="1:17" x14ac:dyDescent="0.3">
      <c r="A85" s="241"/>
      <c r="B85" s="144"/>
      <c r="D85" s="144"/>
      <c r="E85" s="144"/>
      <c r="F85" s="301"/>
      <c r="G85" s="144"/>
      <c r="H85" s="144"/>
      <c r="I85" s="122"/>
      <c r="J85" s="49"/>
      <c r="N85" s="127"/>
      <c r="O85" s="127"/>
    </row>
    <row r="86" spans="1:17" ht="18.75" customHeight="1" x14ac:dyDescent="0.3">
      <c r="A86" s="241"/>
      <c r="B86" s="144"/>
      <c r="D86" s="144"/>
      <c r="E86" s="144"/>
      <c r="F86" s="301"/>
      <c r="G86" s="144"/>
      <c r="H86" s="144"/>
      <c r="I86" s="122"/>
      <c r="J86" s="49"/>
      <c r="N86" s="127"/>
      <c r="O86" s="127"/>
    </row>
    <row r="87" spans="1:17" ht="11.25" customHeight="1" x14ac:dyDescent="0.3">
      <c r="G87" s="306"/>
      <c r="I87" s="122"/>
      <c r="J87" s="49"/>
      <c r="N87" s="127"/>
      <c r="O87" s="127"/>
    </row>
    <row r="88" spans="1:17" s="338" customFormat="1" x14ac:dyDescent="0.3">
      <c r="A88" s="511"/>
      <c r="B88" s="673" t="s">
        <v>174</v>
      </c>
      <c r="C88" s="673"/>
      <c r="E88" s="673" t="s">
        <v>174</v>
      </c>
      <c r="F88" s="673"/>
      <c r="G88" s="673"/>
      <c r="I88" s="684" t="s">
        <v>350</v>
      </c>
      <c r="J88" s="684"/>
      <c r="K88" s="684"/>
      <c r="L88" s="684"/>
      <c r="M88" s="684"/>
      <c r="N88" s="684"/>
      <c r="O88" s="684"/>
      <c r="P88" s="684"/>
      <c r="Q88" s="511"/>
    </row>
    <row r="89" spans="1:17" x14ac:dyDescent="0.3">
      <c r="B89" s="347"/>
      <c r="C89" s="347"/>
      <c r="E89" s="347"/>
      <c r="F89" s="347"/>
      <c r="G89" s="347"/>
      <c r="I89" s="387"/>
      <c r="J89" s="387"/>
      <c r="K89" s="387"/>
      <c r="L89" s="387"/>
      <c r="M89" s="387"/>
      <c r="N89" s="387"/>
      <c r="O89" s="387"/>
    </row>
    <row r="90" spans="1:17" ht="24.75" customHeight="1" x14ac:dyDescent="0.3">
      <c r="A90" s="241"/>
      <c r="B90" s="190"/>
      <c r="C90" s="264"/>
      <c r="D90" s="691" t="s">
        <v>275</v>
      </c>
      <c r="E90" s="691"/>
      <c r="F90" s="691"/>
      <c r="G90" s="691"/>
      <c r="H90" s="691"/>
      <c r="I90" s="691"/>
      <c r="J90" s="691"/>
      <c r="K90" s="691"/>
      <c r="L90" s="691"/>
      <c r="M90" s="190"/>
      <c r="N90" s="307"/>
      <c r="O90" s="307"/>
      <c r="P90" s="307"/>
      <c r="Q90" s="307"/>
    </row>
    <row r="91" spans="1:17" x14ac:dyDescent="0.3">
      <c r="A91" s="241"/>
      <c r="B91" s="190"/>
      <c r="C91" s="264"/>
      <c r="D91" s="499"/>
      <c r="E91" s="190"/>
      <c r="F91" s="670" t="s">
        <v>308</v>
      </c>
      <c r="G91" s="670"/>
      <c r="H91" s="670"/>
      <c r="I91" s="670"/>
      <c r="J91" s="670"/>
      <c r="K91" s="670"/>
      <c r="L91" s="670"/>
      <c r="M91" s="670"/>
      <c r="N91" s="670"/>
      <c r="O91" s="670"/>
      <c r="P91" s="670"/>
      <c r="Q91" s="500"/>
    </row>
    <row r="92" spans="1:17" s="190" customFormat="1" ht="20.25" customHeight="1" x14ac:dyDescent="0.3">
      <c r="A92" s="246"/>
      <c r="B92" s="308" t="s">
        <v>124</v>
      </c>
      <c r="C92" s="298"/>
      <c r="D92" s="690" t="s">
        <v>276</v>
      </c>
      <c r="E92" s="690"/>
      <c r="F92" s="690"/>
      <c r="G92" s="689" t="s">
        <v>280</v>
      </c>
      <c r="H92" s="689"/>
      <c r="I92" s="689"/>
      <c r="J92" s="689"/>
      <c r="K92" s="689"/>
      <c r="L92" s="689"/>
      <c r="M92" s="689"/>
      <c r="N92" s="689"/>
      <c r="O92" s="689"/>
      <c r="P92" s="689"/>
      <c r="Q92" s="498"/>
    </row>
    <row r="93" spans="1:17" x14ac:dyDescent="0.3">
      <c r="B93" s="262"/>
      <c r="C93" s="309"/>
      <c r="D93" s="262"/>
      <c r="E93" s="262"/>
      <c r="I93" s="122"/>
      <c r="J93" s="49"/>
      <c r="N93" s="127"/>
      <c r="O93" s="127"/>
    </row>
    <row r="94" spans="1:17" x14ac:dyDescent="0.3">
      <c r="I94" s="122"/>
      <c r="J94" s="49"/>
      <c r="N94" s="127"/>
      <c r="O94" s="127"/>
    </row>
    <row r="143" spans="1:17" ht="15.75" customHeight="1" x14ac:dyDescent="0.3">
      <c r="A143" s="299"/>
      <c r="B143" s="300" t="s">
        <v>307</v>
      </c>
      <c r="D143" s="122"/>
      <c r="E143" s="144"/>
      <c r="F143" s="301"/>
      <c r="G143" s="302"/>
      <c r="H143" s="144"/>
      <c r="I143" s="310"/>
      <c r="J143" s="310"/>
      <c r="K143" s="310"/>
      <c r="L143" s="310"/>
      <c r="M143" s="310"/>
      <c r="N143" s="310"/>
      <c r="O143" s="310"/>
      <c r="P143" s="309"/>
      <c r="Q143" s="310"/>
    </row>
  </sheetData>
  <mergeCells count="41">
    <mergeCell ref="G92:P92"/>
    <mergeCell ref="D92:F92"/>
    <mergeCell ref="D90:L90"/>
    <mergeCell ref="F91:P91"/>
    <mergeCell ref="B2:L2"/>
    <mergeCell ref="A5:P5"/>
    <mergeCell ref="A6:P6"/>
    <mergeCell ref="C3:H3"/>
    <mergeCell ref="A10:A12"/>
    <mergeCell ref="H11:H12"/>
    <mergeCell ref="D11:D12"/>
    <mergeCell ref="I11:I12"/>
    <mergeCell ref="F10:O10"/>
    <mergeCell ref="C10:D10"/>
    <mergeCell ref="B10:B12"/>
    <mergeCell ref="E10:E12"/>
    <mergeCell ref="B88:C88"/>
    <mergeCell ref="B84:C84"/>
    <mergeCell ref="B73:P73"/>
    <mergeCell ref="N11:N12"/>
    <mergeCell ref="K13:M13"/>
    <mergeCell ref="B72:Q72"/>
    <mergeCell ref="P10:P12"/>
    <mergeCell ref="C11:C12"/>
    <mergeCell ref="F11:F12"/>
    <mergeCell ref="I84:P84"/>
    <mergeCell ref="I88:P88"/>
    <mergeCell ref="E83:G83"/>
    <mergeCell ref="E84:G84"/>
    <mergeCell ref="E88:G88"/>
    <mergeCell ref="B66:D66"/>
    <mergeCell ref="O11:O12"/>
    <mergeCell ref="A8:P8"/>
    <mergeCell ref="J11:J12"/>
    <mergeCell ref="B15:D15"/>
    <mergeCell ref="B83:C83"/>
    <mergeCell ref="I83:P83"/>
    <mergeCell ref="K11:M12"/>
    <mergeCell ref="B71:D71"/>
    <mergeCell ref="I82:P82"/>
    <mergeCell ref="C13:D13"/>
  </mergeCells>
  <phoneticPr fontId="18" type="noConversion"/>
  <printOptions horizontalCentered="1"/>
  <pageMargins left="0.24" right="0" top="0.2" bottom="0.2" header="0.2" footer="0.2"/>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28"/>
  <sheetViews>
    <sheetView tabSelected="1" zoomScale="92" zoomScaleNormal="92" workbookViewId="0">
      <selection activeCell="G43" sqref="G43"/>
    </sheetView>
  </sheetViews>
  <sheetFormatPr defaultColWidth="8.109375" defaultRowHeight="18.75" x14ac:dyDescent="0.3"/>
  <cols>
    <col min="1" max="1" width="2.88671875" style="387" customWidth="1"/>
    <col min="2" max="2" width="17.33203125" style="49" customWidth="1"/>
    <col min="3" max="3" width="6.88671875" style="63" customWidth="1"/>
    <col min="4" max="4" width="5.5546875" style="64" customWidth="1"/>
    <col min="5" max="5" width="7.21875" style="64" customWidth="1"/>
    <col min="6" max="6" width="6.33203125" style="49" customWidth="1"/>
    <col min="7" max="7" width="4.44140625" style="49" customWidth="1"/>
    <col min="8" max="8" width="3.77734375" style="49" customWidth="1"/>
    <col min="9" max="9" width="5.5546875" style="49" customWidth="1"/>
    <col min="10" max="10" width="4.109375" style="387" customWidth="1"/>
    <col min="11" max="11" width="7.6640625" style="49" customWidth="1"/>
    <col min="12" max="12" width="6.44140625" style="387" customWidth="1"/>
    <col min="13" max="13" width="9.33203125" style="49" customWidth="1"/>
    <col min="14" max="14" width="3.88671875" style="49" customWidth="1"/>
    <col min="15" max="15" width="6.33203125" style="49" customWidth="1"/>
    <col min="16" max="16" width="7.88671875" style="49" customWidth="1"/>
    <col min="17" max="17" width="4.6640625" style="50" customWidth="1"/>
    <col min="18" max="18" width="7.88671875" style="49" customWidth="1"/>
    <col min="19" max="19" width="4" style="49" customWidth="1"/>
    <col min="20" max="20" width="7.44140625" style="49" customWidth="1"/>
    <col min="21" max="21" width="4.109375" style="49" customWidth="1"/>
    <col min="22" max="22" width="5.6640625" style="50" customWidth="1"/>
    <col min="23" max="23" width="6.33203125" style="50" customWidth="1"/>
    <col min="24" max="24" width="7.5546875" style="49" customWidth="1"/>
    <col min="25" max="25" width="7.33203125" style="49" customWidth="1"/>
    <col min="26" max="26" width="6.44140625" style="49" customWidth="1"/>
    <col min="27" max="27" width="9.77734375" style="49" customWidth="1"/>
    <col min="28" max="28" width="6.5546875" style="49" customWidth="1"/>
    <col min="29" max="29" width="10.33203125" style="49" customWidth="1"/>
    <col min="30" max="30" width="7.77734375" style="49" customWidth="1"/>
    <col min="31" max="31" width="8.88671875" style="49" customWidth="1"/>
    <col min="32" max="32" width="4.88671875" style="49" customWidth="1"/>
    <col min="33" max="33" width="4.21875" style="49" customWidth="1"/>
    <col min="34" max="34" width="9.88671875" style="49" customWidth="1"/>
    <col min="35" max="35" width="10.88671875" style="49" customWidth="1"/>
    <col min="36" max="36" width="10.44140625" style="49" customWidth="1"/>
    <col min="37" max="38" width="10.21875" style="49" customWidth="1"/>
    <col min="39" max="39" width="21.21875" style="127" customWidth="1"/>
    <col min="40" max="40" width="10.6640625" style="49" customWidth="1"/>
    <col min="41" max="41" width="16.21875" style="49" bestFit="1" customWidth="1"/>
    <col min="42" max="42" width="13.44140625" style="49" customWidth="1"/>
    <col min="43" max="45" width="13.5546875" style="49" customWidth="1"/>
    <col min="46" max="46" width="14.6640625" style="49" customWidth="1"/>
    <col min="47" max="48" width="13.88671875" style="49" customWidth="1"/>
    <col min="49" max="50" width="12.5546875" style="49" bestFit="1" customWidth="1"/>
    <col min="51" max="51" width="14.88671875" style="49" bestFit="1" customWidth="1"/>
    <col min="52" max="52" width="11.77734375" style="49" customWidth="1"/>
    <col min="53" max="53" width="12.44140625" style="49" customWidth="1"/>
    <col min="54" max="55" width="14.44140625" style="49" customWidth="1"/>
    <col min="56" max="56" width="12.5546875" style="49" bestFit="1" customWidth="1"/>
    <col min="57" max="57" width="8.21875" style="49" bestFit="1" customWidth="1"/>
    <col min="58" max="58" width="14.88671875" style="49" customWidth="1"/>
    <col min="59" max="16384" width="8.109375" style="49"/>
  </cols>
  <sheetData>
    <row r="1" spans="1:58" s="58" customFormat="1" x14ac:dyDescent="0.3">
      <c r="A1" s="692" t="s">
        <v>28</v>
      </c>
      <c r="B1" s="692"/>
      <c r="C1" s="692"/>
      <c r="D1" s="692"/>
      <c r="E1" s="692"/>
      <c r="F1" s="692"/>
      <c r="G1" s="692"/>
      <c r="H1" s="692"/>
      <c r="I1" s="692"/>
      <c r="J1" s="387"/>
      <c r="K1" s="49"/>
      <c r="L1" s="387"/>
      <c r="M1" s="49"/>
      <c r="N1" s="49"/>
      <c r="O1" s="49"/>
      <c r="P1" s="49"/>
      <c r="Q1" s="50"/>
      <c r="R1" s="49"/>
      <c r="S1" s="49"/>
      <c r="T1" s="49"/>
      <c r="U1" s="49"/>
      <c r="V1" s="50"/>
      <c r="W1" s="50"/>
      <c r="X1" s="49"/>
      <c r="Y1" s="49"/>
      <c r="Z1" s="49"/>
      <c r="AA1" s="49"/>
      <c r="AB1" s="49"/>
      <c r="AC1" s="49"/>
      <c r="AD1" s="49"/>
      <c r="AE1" s="49"/>
      <c r="AF1" s="660" t="s">
        <v>29</v>
      </c>
      <c r="AG1" s="660"/>
      <c r="AH1" s="660"/>
      <c r="AI1" s="49"/>
      <c r="AJ1" s="49"/>
      <c r="AK1" s="49"/>
      <c r="AL1" s="49"/>
      <c r="AM1" s="51"/>
      <c r="AN1" s="52"/>
      <c r="AO1" s="53"/>
      <c r="AP1" s="54"/>
      <c r="AQ1" s="54"/>
      <c r="AR1" s="54"/>
      <c r="AS1" s="54"/>
      <c r="AT1" s="55"/>
      <c r="AU1" s="51"/>
      <c r="AV1" s="51"/>
      <c r="AW1" s="56"/>
      <c r="AX1" s="57"/>
      <c r="AY1" s="57"/>
    </row>
    <row r="2" spans="1:58" s="58" customFormat="1" x14ac:dyDescent="0.3">
      <c r="A2" s="710" t="s">
        <v>30</v>
      </c>
      <c r="B2" s="710"/>
      <c r="C2" s="710"/>
      <c r="D2" s="710"/>
      <c r="E2" s="710"/>
      <c r="F2" s="710"/>
      <c r="G2" s="710"/>
      <c r="H2" s="710"/>
      <c r="I2" s="710"/>
      <c r="J2" s="387"/>
      <c r="K2" s="49"/>
      <c r="L2" s="387"/>
      <c r="M2" s="49"/>
      <c r="N2" s="49"/>
      <c r="O2" s="49"/>
      <c r="P2" s="49"/>
      <c r="Q2" s="50"/>
      <c r="R2" s="49"/>
      <c r="S2" s="49"/>
      <c r="T2" s="49"/>
      <c r="U2" s="49"/>
      <c r="V2" s="50"/>
      <c r="W2" s="50"/>
      <c r="X2" s="49"/>
      <c r="Y2" s="49"/>
      <c r="Z2" s="49"/>
      <c r="AA2" s="49"/>
      <c r="AB2" s="49"/>
      <c r="AC2" s="49"/>
      <c r="AD2" s="49"/>
      <c r="AE2" s="49"/>
      <c r="AF2" s="49"/>
      <c r="AG2" s="49"/>
      <c r="AH2" s="49"/>
      <c r="AI2" s="49"/>
      <c r="AJ2" s="49"/>
      <c r="AK2" s="49"/>
      <c r="AL2" s="49"/>
      <c r="AM2" s="51"/>
      <c r="AN2" s="59"/>
      <c r="AO2" s="59"/>
      <c r="AP2" s="60"/>
      <c r="AQ2" s="60"/>
      <c r="AR2" s="60"/>
      <c r="AS2" s="60"/>
      <c r="AT2" s="61"/>
      <c r="AU2" s="51"/>
      <c r="AV2" s="51"/>
      <c r="AW2" s="62"/>
      <c r="AX2" s="57"/>
      <c r="AY2" s="57"/>
    </row>
    <row r="3" spans="1:58" s="58" customFormat="1" x14ac:dyDescent="0.3">
      <c r="A3" s="387"/>
      <c r="B3" s="49"/>
      <c r="C3" s="670"/>
      <c r="D3" s="670"/>
      <c r="E3" s="670"/>
      <c r="F3" s="670"/>
      <c r="G3" s="670"/>
      <c r="H3" s="670"/>
      <c r="I3" s="670"/>
      <c r="J3" s="387"/>
      <c r="K3" s="49"/>
      <c r="L3" s="387"/>
      <c r="M3" s="49"/>
      <c r="N3" s="49"/>
      <c r="O3" s="49"/>
      <c r="P3" s="49"/>
      <c r="Q3" s="50"/>
      <c r="R3" s="49"/>
      <c r="S3" s="49"/>
      <c r="T3" s="49"/>
      <c r="U3" s="49"/>
      <c r="V3" s="50"/>
      <c r="W3" s="50"/>
      <c r="X3" s="49"/>
      <c r="Y3" s="49"/>
      <c r="Z3" s="49"/>
      <c r="AA3" s="49"/>
      <c r="AB3" s="49"/>
      <c r="AC3" s="49"/>
      <c r="AD3" s="49"/>
      <c r="AE3" s="49"/>
      <c r="AF3" s="49"/>
      <c r="AG3" s="49"/>
      <c r="AH3" s="49"/>
      <c r="AI3" s="49"/>
      <c r="AJ3" s="49"/>
      <c r="AK3" s="49"/>
      <c r="AL3" s="49"/>
      <c r="AM3" s="51"/>
      <c r="AN3" s="53"/>
      <c r="AO3" s="53"/>
      <c r="AP3" s="54"/>
      <c r="AQ3" s="54"/>
      <c r="AR3" s="54"/>
      <c r="AS3" s="54"/>
      <c r="AT3" s="55"/>
      <c r="AU3" s="51"/>
      <c r="AV3" s="51"/>
      <c r="AW3" s="56"/>
      <c r="AX3" s="57"/>
      <c r="AY3" s="57"/>
    </row>
    <row r="4" spans="1:58" s="58" customFormat="1" ht="37.15" customHeight="1" x14ac:dyDescent="0.3">
      <c r="A4" s="711" t="s">
        <v>368</v>
      </c>
      <c r="B4" s="711"/>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637"/>
      <c r="AK4" s="637"/>
      <c r="AL4" s="637"/>
      <c r="AM4" s="51"/>
      <c r="AN4" s="59"/>
      <c r="AO4" s="59"/>
      <c r="AP4" s="66"/>
      <c r="AQ4" s="66"/>
      <c r="AR4" s="66"/>
      <c r="AS4" s="66"/>
      <c r="AT4" s="67"/>
      <c r="AU4" s="68"/>
      <c r="AV4" s="68"/>
      <c r="AW4" s="69"/>
      <c r="AX4" s="57"/>
      <c r="AY4" s="57"/>
    </row>
    <row r="5" spans="1:58" s="58" customFormat="1" ht="24.75" customHeight="1" x14ac:dyDescent="0.3">
      <c r="A5" s="712" t="s">
        <v>0</v>
      </c>
      <c r="B5" s="714" t="s">
        <v>31</v>
      </c>
      <c r="C5" s="714" t="s">
        <v>32</v>
      </c>
      <c r="D5" s="719" t="s">
        <v>192</v>
      </c>
      <c r="E5" s="719" t="s">
        <v>191</v>
      </c>
      <c r="F5" s="715" t="s">
        <v>33</v>
      </c>
      <c r="G5" s="717" t="s">
        <v>34</v>
      </c>
      <c r="H5" s="676" t="s">
        <v>35</v>
      </c>
      <c r="I5" s="676"/>
      <c r="J5" s="676" t="s">
        <v>35</v>
      </c>
      <c r="K5" s="676"/>
      <c r="L5" s="680" t="s">
        <v>36</v>
      </c>
      <c r="M5" s="680" t="s">
        <v>37</v>
      </c>
      <c r="N5" s="731" t="s">
        <v>38</v>
      </c>
      <c r="O5" s="732"/>
      <c r="P5" s="733"/>
      <c r="Q5" s="714" t="s">
        <v>39</v>
      </c>
      <c r="R5" s="676" t="s">
        <v>73</v>
      </c>
      <c r="S5" s="676" t="s">
        <v>74</v>
      </c>
      <c r="T5" s="676"/>
      <c r="U5" s="676" t="s">
        <v>75</v>
      </c>
      <c r="V5" s="676"/>
      <c r="W5" s="680" t="s">
        <v>217</v>
      </c>
      <c r="X5" s="735" t="s">
        <v>40</v>
      </c>
      <c r="Y5" s="735"/>
      <c r="Z5" s="627" t="s">
        <v>68</v>
      </c>
      <c r="AA5" s="735" t="s">
        <v>41</v>
      </c>
      <c r="AB5" s="735"/>
      <c r="AC5" s="735" t="s">
        <v>42</v>
      </c>
      <c r="AD5" s="735"/>
      <c r="AE5" s="70" t="s">
        <v>43</v>
      </c>
      <c r="AF5" s="714" t="s">
        <v>44</v>
      </c>
      <c r="AG5" s="680" t="s">
        <v>45</v>
      </c>
      <c r="AH5" s="714" t="s">
        <v>46</v>
      </c>
      <c r="AI5" s="714" t="s">
        <v>47</v>
      </c>
      <c r="AJ5" s="71"/>
      <c r="AK5" s="72"/>
      <c r="AL5" s="72"/>
      <c r="AM5" s="703"/>
      <c r="AN5" s="73"/>
      <c r="AO5" s="704" t="s">
        <v>181</v>
      </c>
      <c r="AP5" s="704"/>
      <c r="AQ5" s="704"/>
      <c r="AR5" s="704"/>
      <c r="AS5" s="704"/>
      <c r="AT5" s="704"/>
      <c r="AU5" s="392">
        <f>AU17-AT17</f>
        <v>814954263</v>
      </c>
      <c r="AV5" s="392"/>
      <c r="AW5" s="73"/>
      <c r="AX5" s="705"/>
      <c r="AY5" s="705"/>
      <c r="AZ5" s="705"/>
      <c r="BA5" s="634"/>
      <c r="BB5" s="73"/>
      <c r="BC5" s="73"/>
      <c r="BD5" s="73"/>
      <c r="BE5" s="73"/>
    </row>
    <row r="6" spans="1:58" s="58" customFormat="1" ht="60.75" thickBot="1" x14ac:dyDescent="0.35">
      <c r="A6" s="713"/>
      <c r="B6" s="713"/>
      <c r="C6" s="713"/>
      <c r="D6" s="720"/>
      <c r="E6" s="720"/>
      <c r="F6" s="716"/>
      <c r="G6" s="718"/>
      <c r="H6" s="626" t="s">
        <v>48</v>
      </c>
      <c r="I6" s="629" t="s">
        <v>49</v>
      </c>
      <c r="J6" s="626" t="s">
        <v>48</v>
      </c>
      <c r="K6" s="629" t="s">
        <v>50</v>
      </c>
      <c r="L6" s="696"/>
      <c r="M6" s="696"/>
      <c r="N6" s="629" t="s">
        <v>48</v>
      </c>
      <c r="O6" s="74" t="s">
        <v>51</v>
      </c>
      <c r="P6" s="75" t="s">
        <v>52</v>
      </c>
      <c r="Q6" s="713"/>
      <c r="R6" s="676"/>
      <c r="S6" s="631" t="s">
        <v>35</v>
      </c>
      <c r="T6" s="631" t="s">
        <v>76</v>
      </c>
      <c r="U6" s="631" t="s">
        <v>35</v>
      </c>
      <c r="V6" s="631" t="s">
        <v>76</v>
      </c>
      <c r="W6" s="697"/>
      <c r="X6" s="628" t="s">
        <v>69</v>
      </c>
      <c r="Y6" s="628" t="s">
        <v>53</v>
      </c>
      <c r="Z6" s="628" t="s">
        <v>70</v>
      </c>
      <c r="AA6" s="628" t="s">
        <v>54</v>
      </c>
      <c r="AB6" s="628" t="s">
        <v>55</v>
      </c>
      <c r="AC6" s="628" t="s">
        <v>56</v>
      </c>
      <c r="AD6" s="628" t="s">
        <v>57</v>
      </c>
      <c r="AE6" s="628" t="s">
        <v>58</v>
      </c>
      <c r="AF6" s="713"/>
      <c r="AG6" s="697"/>
      <c r="AH6" s="713"/>
      <c r="AI6" s="713"/>
      <c r="AJ6" s="488" t="e">
        <f>AH9-#REF!</f>
        <v>#REF!</v>
      </c>
      <c r="AK6" s="77"/>
      <c r="AL6" s="77"/>
      <c r="AM6" s="703"/>
      <c r="AN6" s="78"/>
      <c r="AO6" s="79" t="s">
        <v>312</v>
      </c>
      <c r="AP6" s="78"/>
      <c r="AQ6" s="80">
        <f>AO17-AH8</f>
        <v>0</v>
      </c>
      <c r="AR6" s="80"/>
      <c r="AS6" s="80"/>
      <c r="AT6" s="78"/>
      <c r="AU6" s="78"/>
      <c r="AV6" s="78"/>
      <c r="AW6" s="78"/>
      <c r="AX6" s="78"/>
      <c r="AY6" s="78"/>
      <c r="AZ6" s="78" t="s">
        <v>253</v>
      </c>
      <c r="BA6" s="78"/>
      <c r="BB6" s="78"/>
      <c r="BC6" s="78"/>
      <c r="BD6" s="78"/>
      <c r="BE6" s="78"/>
    </row>
    <row r="7" spans="1:58" s="58" customFormat="1" ht="16.5" thickTop="1" thickBot="1" x14ac:dyDescent="0.3">
      <c r="A7" s="81" t="s">
        <v>1</v>
      </c>
      <c r="B7" s="81" t="s">
        <v>2</v>
      </c>
      <c r="C7" s="81" t="s">
        <v>59</v>
      </c>
      <c r="D7" s="82">
        <v>1</v>
      </c>
      <c r="E7" s="82">
        <v>2</v>
      </c>
      <c r="F7" s="82">
        <v>3</v>
      </c>
      <c r="G7" s="82">
        <v>4</v>
      </c>
      <c r="H7" s="721">
        <v>5</v>
      </c>
      <c r="I7" s="722"/>
      <c r="J7" s="721">
        <v>6</v>
      </c>
      <c r="K7" s="722"/>
      <c r="L7" s="81">
        <v>7</v>
      </c>
      <c r="M7" s="81">
        <v>8</v>
      </c>
      <c r="N7" s="721">
        <v>9</v>
      </c>
      <c r="O7" s="722"/>
      <c r="P7" s="83">
        <v>10</v>
      </c>
      <c r="Q7" s="81">
        <v>11</v>
      </c>
      <c r="R7" s="83">
        <v>12</v>
      </c>
      <c r="S7" s="723">
        <v>13</v>
      </c>
      <c r="T7" s="724"/>
      <c r="U7" s="721">
        <v>14</v>
      </c>
      <c r="V7" s="722"/>
      <c r="W7" s="635">
        <v>15</v>
      </c>
      <c r="X7" s="635">
        <v>16</v>
      </c>
      <c r="Y7" s="635">
        <v>17</v>
      </c>
      <c r="Z7" s="635">
        <v>18</v>
      </c>
      <c r="AA7" s="635">
        <v>19</v>
      </c>
      <c r="AB7" s="635">
        <v>20</v>
      </c>
      <c r="AC7" s="635">
        <v>21</v>
      </c>
      <c r="AD7" s="635">
        <v>22</v>
      </c>
      <c r="AE7" s="635">
        <v>23</v>
      </c>
      <c r="AF7" s="635">
        <v>24</v>
      </c>
      <c r="AG7" s="635">
        <v>25</v>
      </c>
      <c r="AH7" s="635">
        <v>26</v>
      </c>
      <c r="AI7" s="81" t="s">
        <v>60</v>
      </c>
      <c r="AJ7" s="638"/>
      <c r="AK7" s="340" t="e">
        <f>AJ8-#REF!</f>
        <v>#REF!</v>
      </c>
      <c r="AL7" s="638"/>
      <c r="AM7" s="350">
        <f>AL7-AL8</f>
        <v>0</v>
      </c>
      <c r="AN7" s="85"/>
      <c r="AO7" s="85" t="s">
        <v>252</v>
      </c>
      <c r="AP7" s="85" t="s">
        <v>313</v>
      </c>
      <c r="AQ7" s="85" t="s">
        <v>314</v>
      </c>
      <c r="AR7" s="85" t="s">
        <v>381</v>
      </c>
      <c r="AS7" s="85" t="s">
        <v>382</v>
      </c>
      <c r="AT7" s="85" t="s">
        <v>317</v>
      </c>
      <c r="AU7" s="86" t="s">
        <v>315</v>
      </c>
      <c r="AV7" s="393"/>
      <c r="AW7" s="78"/>
      <c r="AX7" s="706" t="s">
        <v>182</v>
      </c>
      <c r="AY7" s="707"/>
      <c r="AZ7" s="707"/>
      <c r="BA7" s="87"/>
      <c r="BB7" s="88"/>
      <c r="BC7" s="88"/>
      <c r="BD7" s="78"/>
      <c r="BE7" s="78"/>
    </row>
    <row r="8" spans="1:58" ht="31.5" customHeight="1" thickBot="1" x14ac:dyDescent="0.35">
      <c r="A8" s="636" t="s">
        <v>61</v>
      </c>
      <c r="B8" s="89" t="s">
        <v>62</v>
      </c>
      <c r="C8" s="90"/>
      <c r="D8" s="91"/>
      <c r="E8" s="92"/>
      <c r="F8" s="93">
        <f>SUM(F9:F58)</f>
        <v>195.57000000000002</v>
      </c>
      <c r="G8" s="93">
        <f t="shared" ref="G8:I8" si="0">SUM(G9:G58)</f>
        <v>3.4</v>
      </c>
      <c r="H8" s="93">
        <v>0</v>
      </c>
      <c r="I8" s="94">
        <f t="shared" si="0"/>
        <v>0.20299999999999999</v>
      </c>
      <c r="J8" s="636"/>
      <c r="K8" s="94">
        <f>SUM(K9:K58)</f>
        <v>37.035999999999994</v>
      </c>
      <c r="L8" s="94">
        <f>SUM(L9:L58)</f>
        <v>236.20900000000003</v>
      </c>
      <c r="M8" s="95">
        <f t="shared" ref="M8:O8" si="1">SUM(M9:M58)</f>
        <v>552729060</v>
      </c>
      <c r="N8" s="94"/>
      <c r="O8" s="94">
        <f t="shared" si="1"/>
        <v>95.138499999999993</v>
      </c>
      <c r="P8" s="95">
        <f>SUM(P9:P58)</f>
        <v>222624090</v>
      </c>
      <c r="Q8" s="95">
        <f t="shared" ref="Q8:R8" si="2">SUM(Q9:Q58)</f>
        <v>0</v>
      </c>
      <c r="R8" s="95">
        <f t="shared" si="2"/>
        <v>57330000</v>
      </c>
      <c r="S8" s="93">
        <f>SUM(S9:S58)</f>
        <v>0.5</v>
      </c>
      <c r="T8" s="95">
        <f t="shared" ref="T8" si="3">SUM(T9:T58)</f>
        <v>1170000</v>
      </c>
      <c r="U8" s="93">
        <f t="shared" ref="U8" si="4">SUM(U9:U58)</f>
        <v>0.4</v>
      </c>
      <c r="V8" s="95">
        <f t="shared" ref="V8" si="5">SUM(V9:V58)</f>
        <v>936000</v>
      </c>
      <c r="W8" s="95">
        <f t="shared" ref="W8" si="6">SUM(W9:W58)</f>
        <v>468000</v>
      </c>
      <c r="X8" s="95">
        <f t="shared" ref="X8" si="7">SUM(X9:X58)</f>
        <v>93963940</v>
      </c>
      <c r="Y8" s="95">
        <f t="shared" ref="Y8" si="8">SUM(Y9:Y58)</f>
        <v>44218325</v>
      </c>
      <c r="Z8" s="95">
        <f t="shared" ref="Z8" si="9">SUM(Z9:Z58)</f>
        <v>2763645</v>
      </c>
      <c r="AA8" s="95">
        <f t="shared" ref="AA8" si="10">SUM(AA9:AA58)</f>
        <v>16581872</v>
      </c>
      <c r="AB8" s="95">
        <f t="shared" ref="AB8" si="11">SUM(AB9:AB58)</f>
        <v>8290936</v>
      </c>
      <c r="AC8" s="95">
        <f t="shared" ref="AC8" si="12">SUM(AC9:AC58)</f>
        <v>5527292</v>
      </c>
      <c r="AD8" s="95">
        <f t="shared" ref="AD8" si="13">SUM(AD9:AD58)</f>
        <v>5527292</v>
      </c>
      <c r="AE8" s="95">
        <f t="shared" ref="AE8" si="14">SUM(AE9:AE58)</f>
        <v>11054578</v>
      </c>
      <c r="AF8" s="95">
        <f t="shared" ref="AF8" si="15">SUM(AF9:AF58)</f>
        <v>0</v>
      </c>
      <c r="AG8" s="95">
        <f t="shared" ref="AG8" si="16">SUM(AG9:AG58)</f>
        <v>0</v>
      </c>
      <c r="AH8" s="95">
        <f>SUM(AH9:AH58)</f>
        <v>777220597</v>
      </c>
      <c r="AI8" s="95"/>
      <c r="AJ8" s="95">
        <f>SUM(AJ9:AJ58)</f>
        <v>1289723</v>
      </c>
      <c r="AK8" s="95"/>
      <c r="AL8" s="95"/>
      <c r="AM8" s="96" t="s">
        <v>176</v>
      </c>
      <c r="AN8" s="97">
        <v>6001</v>
      </c>
      <c r="AO8" s="98">
        <f>ROUND(((F8)*2340000)*89.5%,0)</f>
        <v>409582251</v>
      </c>
      <c r="AP8" s="98"/>
      <c r="AQ8" s="98"/>
      <c r="AR8" s="98">
        <f>ROUND(((4)*2340000)*89.5%,0)</f>
        <v>8377200</v>
      </c>
      <c r="AS8" s="98">
        <f>ROUND(((0.15)*1800000)*89.5%,0)</f>
        <v>241650</v>
      </c>
      <c r="AT8" s="98">
        <f>ROUND(((0.82)*2340000)*89.5%,0)</f>
        <v>1717326</v>
      </c>
      <c r="AU8" s="99">
        <f>AT8+AS8+AR8+AQ8+AP8+AO8</f>
        <v>419918427</v>
      </c>
      <c r="AV8" s="99"/>
      <c r="AW8" s="100">
        <v>6001</v>
      </c>
      <c r="AX8" s="101" t="s">
        <v>183</v>
      </c>
      <c r="AY8" s="98">
        <f>ROUND((F8)*2340000,0)</f>
        <v>457633800</v>
      </c>
      <c r="AZ8" s="101"/>
      <c r="BA8" s="102"/>
      <c r="BB8" s="103"/>
      <c r="BC8" s="104"/>
      <c r="BD8" s="105"/>
      <c r="BE8" s="106"/>
      <c r="BF8" s="107"/>
    </row>
    <row r="9" spans="1:58" ht="20.25" customHeight="1" thickBot="1" x14ac:dyDescent="0.35">
      <c r="A9" s="108" t="s">
        <v>137</v>
      </c>
      <c r="B9" s="109" t="s">
        <v>350</v>
      </c>
      <c r="C9" s="110" t="s">
        <v>347</v>
      </c>
      <c r="D9" s="111" t="s">
        <v>352</v>
      </c>
      <c r="E9" s="339">
        <v>44986</v>
      </c>
      <c r="F9" s="113">
        <v>5.36</v>
      </c>
      <c r="G9" s="113">
        <v>0.5</v>
      </c>
      <c r="H9" s="315"/>
      <c r="I9" s="137"/>
      <c r="J9" s="130">
        <v>21</v>
      </c>
      <c r="K9" s="115">
        <f>ROUND((F9+G9+I9)*J9/100,4)</f>
        <v>1.2305999999999999</v>
      </c>
      <c r="L9" s="115">
        <f>F9+G9+I9+K9</f>
        <v>7.0906000000000002</v>
      </c>
      <c r="M9" s="116">
        <f>ROUND(L9*2340000,0)</f>
        <v>16592004</v>
      </c>
      <c r="N9" s="117">
        <v>0.5</v>
      </c>
      <c r="O9" s="397">
        <f>(F9+G9+I9)*N9</f>
        <v>2.93</v>
      </c>
      <c r="P9" s="116">
        <f>ROUND(O9*2340000,0)</f>
        <v>6856200</v>
      </c>
      <c r="Q9" s="118"/>
      <c r="R9" s="116">
        <f>ROUND(0.5*2340000,0)</f>
        <v>1170000</v>
      </c>
      <c r="S9" s="119"/>
      <c r="T9" s="116">
        <f>S9*2340000</f>
        <v>0</v>
      </c>
      <c r="U9" s="119"/>
      <c r="V9" s="120">
        <f>U9*2340000</f>
        <v>0</v>
      </c>
      <c r="W9" s="120"/>
      <c r="X9" s="116">
        <f>ROUND((L9*2340000*17/100),0)</f>
        <v>2820641</v>
      </c>
      <c r="Y9" s="116">
        <f>ROUND((L9*2340000*8/100),0)</f>
        <v>1327360</v>
      </c>
      <c r="Z9" s="116">
        <f>ROUND((L9*2340000*0.5/100),0)</f>
        <v>82960</v>
      </c>
      <c r="AA9" s="116">
        <f>ROUND((L9*2340000*3/100),0)</f>
        <v>497760</v>
      </c>
      <c r="AB9" s="116">
        <f>ROUND((L9*2340000*1.5/100),0)</f>
        <v>248880</v>
      </c>
      <c r="AC9" s="116">
        <f>ROUND((L9*2340000*1/100),0)</f>
        <v>165920</v>
      </c>
      <c r="AD9" s="116">
        <f>ROUND((L9*2340000*1/100),0)</f>
        <v>165920</v>
      </c>
      <c r="AE9" s="116">
        <f>ROUND((L9*2340000*2/100),0)</f>
        <v>331840</v>
      </c>
      <c r="AF9" s="109"/>
      <c r="AG9" s="116"/>
      <c r="AH9" s="116">
        <f t="shared" ref="AH9:AH57" si="17">M9-Y9-AB9-AD9+P9+R9+T9+V9+W9</f>
        <v>22876044</v>
      </c>
      <c r="AI9" s="116"/>
      <c r="AJ9" s="116">
        <f>AH9-'T8-24'!AH9</f>
        <v>300875</v>
      </c>
      <c r="AK9" s="116"/>
      <c r="AL9" s="121"/>
      <c r="AM9" s="96"/>
      <c r="AN9" s="97">
        <v>6051</v>
      </c>
      <c r="AO9" s="98">
        <v>0</v>
      </c>
      <c r="AP9" s="98">
        <f>ROUND((F59*2340000)*89.5%,0)</f>
        <v>17550234</v>
      </c>
      <c r="AQ9" s="324">
        <f>R59</f>
        <v>4680000</v>
      </c>
      <c r="AR9" s="98">
        <v>0</v>
      </c>
      <c r="AS9" s="98">
        <v>0</v>
      </c>
      <c r="AT9" s="98">
        <v>0</v>
      </c>
      <c r="AU9" s="99">
        <f t="shared" ref="AU9:AU16" si="18">AT9+AS9+AR9+AQ9+AP9+AO9</f>
        <v>22230234</v>
      </c>
      <c r="AV9" s="99"/>
      <c r="AW9" s="100">
        <v>6051</v>
      </c>
      <c r="AX9" s="101" t="s">
        <v>184</v>
      </c>
      <c r="AY9" s="98">
        <f>F59*2340000</f>
        <v>19609200</v>
      </c>
      <c r="AZ9" s="101"/>
      <c r="BA9" s="102"/>
      <c r="BB9" s="102"/>
      <c r="BC9" s="102"/>
      <c r="BD9" s="105"/>
      <c r="BE9" s="106"/>
      <c r="BF9" s="122"/>
    </row>
    <row r="10" spans="1:58" ht="20.25" customHeight="1" thickBot="1" x14ac:dyDescent="0.35">
      <c r="A10" s="108" t="s">
        <v>138</v>
      </c>
      <c r="B10" s="109" t="s">
        <v>89</v>
      </c>
      <c r="C10" s="110" t="s">
        <v>346</v>
      </c>
      <c r="D10" s="123" t="s">
        <v>193</v>
      </c>
      <c r="E10" s="325" t="s">
        <v>322</v>
      </c>
      <c r="F10" s="124">
        <v>3.99</v>
      </c>
      <c r="G10" s="124">
        <v>0.4</v>
      </c>
      <c r="H10" s="125"/>
      <c r="I10" s="110"/>
      <c r="J10" s="126">
        <v>20</v>
      </c>
      <c r="K10" s="115">
        <f t="shared" ref="K10:K14" si="19">ROUND((F10+G10+I10)*J10/100,4)</f>
        <v>0.878</v>
      </c>
      <c r="L10" s="115">
        <f t="shared" ref="L10:L40" si="20">F10+G10+I10+K10</f>
        <v>5.2680000000000007</v>
      </c>
      <c r="M10" s="116">
        <f t="shared" ref="M10:M63" si="21">ROUND(L10*2340000,0)</f>
        <v>12327120</v>
      </c>
      <c r="N10" s="117">
        <v>0.5</v>
      </c>
      <c r="O10" s="397">
        <f t="shared" ref="O10:O40" si="22">(F10+G10+I10)*N10</f>
        <v>2.1950000000000003</v>
      </c>
      <c r="P10" s="116">
        <f t="shared" ref="P10:P63" si="23">ROUND(O10*2340000,0)</f>
        <v>5136300</v>
      </c>
      <c r="Q10" s="118"/>
      <c r="R10" s="116">
        <f t="shared" ref="R10:R63" si="24">ROUND(0.5*2340000,0)</f>
        <v>1170000</v>
      </c>
      <c r="S10" s="119"/>
      <c r="T10" s="116">
        <f t="shared" ref="T10:T56" si="25">S10*2340000</f>
        <v>0</v>
      </c>
      <c r="U10" s="119"/>
      <c r="V10" s="120">
        <f t="shared" ref="V10:V56" si="26">U10*2340000</f>
        <v>0</v>
      </c>
      <c r="W10" s="120"/>
      <c r="X10" s="116">
        <f t="shared" ref="X10:X56" si="27">ROUND((L10*2340000*17/100),0)</f>
        <v>2095610</v>
      </c>
      <c r="Y10" s="116">
        <f t="shared" ref="Y10:Y56" si="28">ROUND((L10*2340000*8/100),0)</f>
        <v>986170</v>
      </c>
      <c r="Z10" s="116">
        <f t="shared" ref="Z10:Z56" si="29">ROUND((L10*2340000*0.5/100),0)</f>
        <v>61636</v>
      </c>
      <c r="AA10" s="116">
        <f t="shared" ref="AA10:AA56" si="30">ROUND((L10*2340000*3/100),0)</f>
        <v>369814</v>
      </c>
      <c r="AB10" s="116">
        <f t="shared" ref="AB10:AB56" si="31">ROUND((L10*2340000*1.5/100),0)</f>
        <v>184907</v>
      </c>
      <c r="AC10" s="116">
        <f t="shared" ref="AC10:AC56" si="32">ROUND((L10*2340000*1/100),0)</f>
        <v>123271</v>
      </c>
      <c r="AD10" s="116">
        <f t="shared" ref="AD10:AD56" si="33">ROUND((L10*2340000*1/100),0)</f>
        <v>123271</v>
      </c>
      <c r="AE10" s="116">
        <f t="shared" ref="AE10:AE56" si="34">ROUND((L10*2340000*2/100),0)</f>
        <v>246542</v>
      </c>
      <c r="AF10" s="109"/>
      <c r="AG10" s="116"/>
      <c r="AH10" s="116">
        <f t="shared" si="17"/>
        <v>17339072</v>
      </c>
      <c r="AI10" s="109"/>
      <c r="AJ10" s="116">
        <f>AH10-'T8-24'!AH10</f>
        <v>0</v>
      </c>
      <c r="AK10" s="334" t="s">
        <v>89</v>
      </c>
      <c r="AL10" s="121"/>
      <c r="AM10" s="127" t="s">
        <v>177</v>
      </c>
      <c r="AN10" s="97">
        <v>6101</v>
      </c>
      <c r="AO10" s="98">
        <f>ROUND((G8*2340000)*89.5%,0)</f>
        <v>7120620</v>
      </c>
      <c r="AQ10" s="98"/>
      <c r="AR10" s="98">
        <f>ROUND((J8*2340000)*89.5%,0)</f>
        <v>0</v>
      </c>
      <c r="AS10" s="98"/>
      <c r="AT10" s="98">
        <v>0</v>
      </c>
      <c r="AU10" s="99">
        <f t="shared" si="18"/>
        <v>7120620</v>
      </c>
      <c r="AV10" s="99"/>
      <c r="AW10" s="100">
        <v>6101</v>
      </c>
      <c r="AX10" s="101" t="s">
        <v>185</v>
      </c>
      <c r="AY10" s="98">
        <f>ROUND(G8*2340000,0)</f>
        <v>7956000</v>
      </c>
      <c r="AZ10" s="128">
        <f>N60</f>
        <v>0</v>
      </c>
      <c r="BA10" s="129"/>
      <c r="BB10" s="102"/>
      <c r="BC10" s="102"/>
      <c r="BD10" s="105"/>
      <c r="BE10" s="106"/>
      <c r="BF10" s="107"/>
    </row>
    <row r="11" spans="1:58" ht="20.25" customHeight="1" thickBot="1" x14ac:dyDescent="0.35">
      <c r="A11" s="108" t="s">
        <v>139</v>
      </c>
      <c r="B11" s="109" t="s">
        <v>24</v>
      </c>
      <c r="C11" s="110" t="s">
        <v>347</v>
      </c>
      <c r="D11" s="112" t="s">
        <v>193</v>
      </c>
      <c r="E11" s="257" t="s">
        <v>323</v>
      </c>
      <c r="F11" s="113">
        <v>4</v>
      </c>
      <c r="G11" s="113">
        <v>0.4</v>
      </c>
      <c r="H11" s="114"/>
      <c r="I11" s="110"/>
      <c r="J11" s="130">
        <v>20</v>
      </c>
      <c r="K11" s="115">
        <f t="shared" si="19"/>
        <v>0.88</v>
      </c>
      <c r="L11" s="115">
        <f t="shared" si="20"/>
        <v>5.28</v>
      </c>
      <c r="M11" s="116">
        <f t="shared" si="21"/>
        <v>12355200</v>
      </c>
      <c r="N11" s="117">
        <v>0.5</v>
      </c>
      <c r="O11" s="397">
        <f t="shared" si="22"/>
        <v>2.2000000000000002</v>
      </c>
      <c r="P11" s="116">
        <f t="shared" si="23"/>
        <v>5148000</v>
      </c>
      <c r="Q11" s="118"/>
      <c r="R11" s="116">
        <f t="shared" si="24"/>
        <v>1170000</v>
      </c>
      <c r="S11" s="119"/>
      <c r="T11" s="116">
        <f t="shared" si="25"/>
        <v>0</v>
      </c>
      <c r="U11" s="119"/>
      <c r="V11" s="120">
        <f t="shared" si="26"/>
        <v>0</v>
      </c>
      <c r="W11" s="120"/>
      <c r="X11" s="116">
        <f t="shared" si="27"/>
        <v>2100384</v>
      </c>
      <c r="Y11" s="116">
        <f t="shared" si="28"/>
        <v>988416</v>
      </c>
      <c r="Z11" s="116">
        <f t="shared" si="29"/>
        <v>61776</v>
      </c>
      <c r="AA11" s="116">
        <f t="shared" si="30"/>
        <v>370656</v>
      </c>
      <c r="AB11" s="116">
        <f t="shared" si="31"/>
        <v>185328</v>
      </c>
      <c r="AC11" s="116">
        <f t="shared" si="32"/>
        <v>123552</v>
      </c>
      <c r="AD11" s="116">
        <f t="shared" si="33"/>
        <v>123552</v>
      </c>
      <c r="AE11" s="116">
        <f t="shared" si="34"/>
        <v>247104</v>
      </c>
      <c r="AF11" s="109"/>
      <c r="AG11" s="116"/>
      <c r="AH11" s="116">
        <f t="shared" si="17"/>
        <v>17375904</v>
      </c>
      <c r="AI11" s="109"/>
      <c r="AJ11" s="116">
        <f>AH11-'T8-24'!AH11</f>
        <v>0</v>
      </c>
      <c r="AK11" s="334" t="s">
        <v>24</v>
      </c>
      <c r="AL11" s="121"/>
      <c r="AM11" s="127" t="s">
        <v>256</v>
      </c>
      <c r="AN11" s="97">
        <v>6102</v>
      </c>
      <c r="AO11" s="98">
        <f>R8</f>
        <v>57330000</v>
      </c>
      <c r="AP11" s="98"/>
      <c r="AQ11" s="131"/>
      <c r="AR11" s="98">
        <v>1170000</v>
      </c>
      <c r="AS11" s="98"/>
      <c r="AT11" s="98">
        <v>0</v>
      </c>
      <c r="AU11" s="99">
        <f t="shared" si="18"/>
        <v>58500000</v>
      </c>
      <c r="AV11" s="99"/>
      <c r="AW11" s="132">
        <v>6115</v>
      </c>
      <c r="AX11" s="101" t="s">
        <v>186</v>
      </c>
      <c r="AY11" s="98">
        <f>(I8+K8)*2340000</f>
        <v>87139260</v>
      </c>
      <c r="AZ11" s="131"/>
      <c r="BA11" s="133"/>
      <c r="BB11" s="102"/>
      <c r="BC11" s="102"/>
      <c r="BD11" s="105"/>
      <c r="BE11" s="106"/>
      <c r="BF11" s="134"/>
    </row>
    <row r="12" spans="1:58" ht="20.25" customHeight="1" thickBot="1" x14ac:dyDescent="0.35">
      <c r="A12" s="108" t="s">
        <v>140</v>
      </c>
      <c r="B12" s="109" t="s">
        <v>14</v>
      </c>
      <c r="C12" s="110" t="s">
        <v>90</v>
      </c>
      <c r="D12" s="112" t="s">
        <v>194</v>
      </c>
      <c r="E12" s="257" t="s">
        <v>324</v>
      </c>
      <c r="F12" s="135">
        <f>3.96+0.31</f>
        <v>4.2699999999999996</v>
      </c>
      <c r="G12" s="135"/>
      <c r="H12" s="312"/>
      <c r="I12" s="136"/>
      <c r="J12" s="313">
        <v>21</v>
      </c>
      <c r="K12" s="115">
        <f t="shared" ref="K12:K13" si="35">ROUND((F12+G12+I12)*J12/100,4)</f>
        <v>0.89670000000000005</v>
      </c>
      <c r="L12" s="115">
        <f t="shared" si="20"/>
        <v>5.1666999999999996</v>
      </c>
      <c r="M12" s="116">
        <f t="shared" si="21"/>
        <v>12090078</v>
      </c>
      <c r="N12" s="117">
        <v>0.5</v>
      </c>
      <c r="O12" s="397">
        <f t="shared" si="22"/>
        <v>2.1349999999999998</v>
      </c>
      <c r="P12" s="116">
        <f t="shared" si="23"/>
        <v>4995900</v>
      </c>
      <c r="Q12" s="118"/>
      <c r="R12" s="116">
        <f t="shared" si="24"/>
        <v>1170000</v>
      </c>
      <c r="S12" s="119"/>
      <c r="T12" s="116">
        <f t="shared" si="25"/>
        <v>0</v>
      </c>
      <c r="U12" s="119"/>
      <c r="V12" s="120">
        <f t="shared" si="26"/>
        <v>0</v>
      </c>
      <c r="W12" s="120"/>
      <c r="X12" s="116">
        <f t="shared" si="27"/>
        <v>2055313</v>
      </c>
      <c r="Y12" s="116">
        <f t="shared" si="28"/>
        <v>967206</v>
      </c>
      <c r="Z12" s="116">
        <f t="shared" si="29"/>
        <v>60450</v>
      </c>
      <c r="AA12" s="116">
        <f t="shared" si="30"/>
        <v>362702</v>
      </c>
      <c r="AB12" s="116">
        <f t="shared" si="31"/>
        <v>181351</v>
      </c>
      <c r="AC12" s="116">
        <f t="shared" si="32"/>
        <v>120901</v>
      </c>
      <c r="AD12" s="116">
        <f t="shared" si="33"/>
        <v>120901</v>
      </c>
      <c r="AE12" s="116">
        <f t="shared" si="34"/>
        <v>241802</v>
      </c>
      <c r="AF12" s="109"/>
      <c r="AG12" s="116"/>
      <c r="AH12" s="116">
        <f t="shared" si="17"/>
        <v>16986520</v>
      </c>
      <c r="AI12" s="109"/>
      <c r="AJ12" s="116">
        <f>AH12-'T8-24'!AH12</f>
        <v>0</v>
      </c>
      <c r="AK12" s="334"/>
      <c r="AL12" s="121"/>
      <c r="AM12" s="127" t="s">
        <v>178</v>
      </c>
      <c r="AN12" s="97">
        <v>6107</v>
      </c>
      <c r="AO12" s="98">
        <f>V8</f>
        <v>936000</v>
      </c>
      <c r="AP12" s="98"/>
      <c r="AQ12" s="131"/>
      <c r="AR12" s="98">
        <v>0</v>
      </c>
      <c r="AS12" s="98">
        <v>0</v>
      </c>
      <c r="AT12" s="98">
        <v>0</v>
      </c>
      <c r="AU12" s="99">
        <f t="shared" si="18"/>
        <v>936000</v>
      </c>
      <c r="AV12" s="99"/>
      <c r="AW12" s="100"/>
      <c r="AX12" s="101"/>
      <c r="AY12" s="98"/>
      <c r="AZ12" s="131"/>
      <c r="BA12" s="133"/>
      <c r="BB12" s="102"/>
      <c r="BC12" s="102"/>
      <c r="BD12" s="105"/>
      <c r="BE12" s="106"/>
    </row>
    <row r="13" spans="1:58" ht="20.25" customHeight="1" thickBot="1" x14ac:dyDescent="0.35">
      <c r="A13" s="108" t="s">
        <v>141</v>
      </c>
      <c r="B13" s="109" t="s">
        <v>15</v>
      </c>
      <c r="C13" s="110" t="s">
        <v>90</v>
      </c>
      <c r="D13" s="112" t="s">
        <v>193</v>
      </c>
      <c r="E13" s="257" t="s">
        <v>325</v>
      </c>
      <c r="F13" s="113">
        <v>3.96</v>
      </c>
      <c r="G13" s="113"/>
      <c r="H13" s="114"/>
      <c r="I13" s="110"/>
      <c r="J13" s="130">
        <v>16</v>
      </c>
      <c r="K13" s="115">
        <f t="shared" si="35"/>
        <v>0.63360000000000005</v>
      </c>
      <c r="L13" s="115">
        <f t="shared" si="20"/>
        <v>4.5936000000000003</v>
      </c>
      <c r="M13" s="116">
        <f t="shared" si="21"/>
        <v>10749024</v>
      </c>
      <c r="N13" s="117">
        <v>0.5</v>
      </c>
      <c r="O13" s="397">
        <f t="shared" si="22"/>
        <v>1.98</v>
      </c>
      <c r="P13" s="116">
        <f t="shared" si="23"/>
        <v>4633200</v>
      </c>
      <c r="Q13" s="118"/>
      <c r="R13" s="116">
        <f t="shared" si="24"/>
        <v>1170000</v>
      </c>
      <c r="S13" s="119"/>
      <c r="T13" s="116">
        <f t="shared" si="25"/>
        <v>0</v>
      </c>
      <c r="U13" s="119"/>
      <c r="V13" s="120">
        <f t="shared" si="26"/>
        <v>0</v>
      </c>
      <c r="W13" s="120"/>
      <c r="X13" s="116">
        <f t="shared" si="27"/>
        <v>1827334</v>
      </c>
      <c r="Y13" s="116">
        <f t="shared" si="28"/>
        <v>859922</v>
      </c>
      <c r="Z13" s="116">
        <f t="shared" si="29"/>
        <v>53745</v>
      </c>
      <c r="AA13" s="116">
        <f t="shared" si="30"/>
        <v>322471</v>
      </c>
      <c r="AB13" s="116">
        <f t="shared" si="31"/>
        <v>161235</v>
      </c>
      <c r="AC13" s="116">
        <f t="shared" si="32"/>
        <v>107490</v>
      </c>
      <c r="AD13" s="116">
        <f t="shared" si="33"/>
        <v>107490</v>
      </c>
      <c r="AE13" s="116">
        <f t="shared" si="34"/>
        <v>214980</v>
      </c>
      <c r="AF13" s="109"/>
      <c r="AG13" s="116"/>
      <c r="AH13" s="116">
        <f t="shared" si="17"/>
        <v>15423577</v>
      </c>
      <c r="AI13" s="109"/>
      <c r="AJ13" s="116">
        <f>AH13-'T8-24'!AH13</f>
        <v>0</v>
      </c>
      <c r="AK13" s="335"/>
      <c r="AL13" s="121"/>
      <c r="AM13" s="127" t="s">
        <v>179</v>
      </c>
      <c r="AN13" s="97">
        <v>6112</v>
      </c>
      <c r="AO13" s="98">
        <f>P8</f>
        <v>222624090</v>
      </c>
      <c r="AP13" s="98"/>
      <c r="AQ13" s="314"/>
      <c r="AR13" s="98">
        <v>4680000</v>
      </c>
      <c r="AS13" s="98">
        <v>135000</v>
      </c>
      <c r="AT13" s="98">
        <v>260208</v>
      </c>
      <c r="AU13" s="99">
        <f t="shared" si="18"/>
        <v>227699298</v>
      </c>
      <c r="AV13" s="99"/>
      <c r="AW13" s="100"/>
      <c r="AX13" s="101"/>
      <c r="AY13" s="98"/>
      <c r="AZ13" s="101"/>
      <c r="BA13" s="102"/>
      <c r="BB13" s="102"/>
      <c r="BC13" s="102"/>
      <c r="BD13" s="105"/>
      <c r="BE13" s="106"/>
    </row>
    <row r="14" spans="1:58" ht="20.25" customHeight="1" thickBot="1" x14ac:dyDescent="0.35">
      <c r="A14" s="108" t="s">
        <v>111</v>
      </c>
      <c r="B14" s="109" t="s">
        <v>16</v>
      </c>
      <c r="C14" s="110" t="s">
        <v>113</v>
      </c>
      <c r="D14" s="112" t="s">
        <v>195</v>
      </c>
      <c r="E14" s="257" t="s">
        <v>326</v>
      </c>
      <c r="F14" s="113">
        <v>3.86</v>
      </c>
      <c r="G14" s="113"/>
      <c r="H14" s="114"/>
      <c r="I14" s="110"/>
      <c r="J14" s="130">
        <v>19</v>
      </c>
      <c r="K14" s="115">
        <f t="shared" si="19"/>
        <v>0.73340000000000005</v>
      </c>
      <c r="L14" s="115">
        <f t="shared" si="20"/>
        <v>4.5933999999999999</v>
      </c>
      <c r="M14" s="116">
        <f t="shared" si="21"/>
        <v>10748556</v>
      </c>
      <c r="N14" s="117">
        <v>0.5</v>
      </c>
      <c r="O14" s="397">
        <f t="shared" si="22"/>
        <v>1.93</v>
      </c>
      <c r="P14" s="116">
        <f t="shared" si="23"/>
        <v>4516200</v>
      </c>
      <c r="Q14" s="118"/>
      <c r="R14" s="116">
        <f t="shared" si="24"/>
        <v>1170000</v>
      </c>
      <c r="S14" s="119"/>
      <c r="T14" s="116">
        <f t="shared" si="25"/>
        <v>0</v>
      </c>
      <c r="U14" s="119"/>
      <c r="V14" s="120">
        <f t="shared" si="26"/>
        <v>0</v>
      </c>
      <c r="W14" s="120"/>
      <c r="X14" s="116">
        <f t="shared" si="27"/>
        <v>1827255</v>
      </c>
      <c r="Y14" s="116">
        <f t="shared" si="28"/>
        <v>859884</v>
      </c>
      <c r="Z14" s="116">
        <f t="shared" si="29"/>
        <v>53743</v>
      </c>
      <c r="AA14" s="116">
        <f t="shared" si="30"/>
        <v>322457</v>
      </c>
      <c r="AB14" s="116">
        <f t="shared" si="31"/>
        <v>161228</v>
      </c>
      <c r="AC14" s="116">
        <f t="shared" si="32"/>
        <v>107486</v>
      </c>
      <c r="AD14" s="116">
        <f t="shared" si="33"/>
        <v>107486</v>
      </c>
      <c r="AE14" s="116">
        <f t="shared" si="34"/>
        <v>214971</v>
      </c>
      <c r="AF14" s="109"/>
      <c r="AG14" s="116"/>
      <c r="AH14" s="116">
        <f t="shared" si="17"/>
        <v>15306158</v>
      </c>
      <c r="AI14" s="109"/>
      <c r="AJ14" s="116">
        <f>AH14-'T8-24'!AH14</f>
        <v>0</v>
      </c>
      <c r="AK14" s="336"/>
      <c r="AL14" s="121"/>
      <c r="AM14" s="127" t="s">
        <v>309</v>
      </c>
      <c r="AN14" s="97">
        <v>6113</v>
      </c>
      <c r="AO14" s="98">
        <f>T8</f>
        <v>1170000</v>
      </c>
      <c r="AP14" s="98"/>
      <c r="AQ14" s="314"/>
      <c r="AR14" s="98">
        <v>0</v>
      </c>
      <c r="AS14" s="98">
        <v>0</v>
      </c>
      <c r="AT14" s="98">
        <v>0</v>
      </c>
      <c r="AU14" s="99">
        <f t="shared" si="18"/>
        <v>1170000</v>
      </c>
      <c r="AV14" s="99"/>
      <c r="AW14" s="132"/>
      <c r="AX14" s="101"/>
      <c r="AY14" s="98"/>
      <c r="AZ14" s="101"/>
      <c r="BA14" s="102"/>
      <c r="BB14" s="102"/>
      <c r="BC14" s="102"/>
      <c r="BD14" s="105"/>
      <c r="BE14" s="106"/>
    </row>
    <row r="15" spans="1:58" ht="20.25" customHeight="1" thickBot="1" x14ac:dyDescent="0.35">
      <c r="A15" s="108" t="s">
        <v>135</v>
      </c>
      <c r="B15" s="109" t="s">
        <v>17</v>
      </c>
      <c r="C15" s="110" t="s">
        <v>113</v>
      </c>
      <c r="D15" s="112" t="s">
        <v>196</v>
      </c>
      <c r="E15" s="257" t="s">
        <v>325</v>
      </c>
      <c r="F15" s="113">
        <f>3.86+0.2</f>
        <v>4.0599999999999996</v>
      </c>
      <c r="G15" s="113"/>
      <c r="H15" s="315" t="s">
        <v>306</v>
      </c>
      <c r="I15" s="137">
        <f>(F15*H15)</f>
        <v>0.20299999999999999</v>
      </c>
      <c r="J15" s="130">
        <v>24</v>
      </c>
      <c r="K15" s="115">
        <f>ROUND((F15+G15+I15)*J15/100,4)</f>
        <v>1.0230999999999999</v>
      </c>
      <c r="L15" s="115">
        <f>F15+G15+I15+K15</f>
        <v>5.2860999999999994</v>
      </c>
      <c r="M15" s="116">
        <f t="shared" si="21"/>
        <v>12369474</v>
      </c>
      <c r="N15" s="117">
        <v>0.5</v>
      </c>
      <c r="O15" s="397">
        <f t="shared" si="22"/>
        <v>2.1315</v>
      </c>
      <c r="P15" s="116">
        <f t="shared" si="23"/>
        <v>4987710</v>
      </c>
      <c r="Q15" s="118"/>
      <c r="R15" s="116">
        <f t="shared" si="24"/>
        <v>1170000</v>
      </c>
      <c r="S15" s="119"/>
      <c r="T15" s="116">
        <f t="shared" si="25"/>
        <v>0</v>
      </c>
      <c r="U15" s="119"/>
      <c r="V15" s="120">
        <f t="shared" si="26"/>
        <v>0</v>
      </c>
      <c r="W15" s="120"/>
      <c r="X15" s="116">
        <f t="shared" si="27"/>
        <v>2102811</v>
      </c>
      <c r="Y15" s="116">
        <f t="shared" si="28"/>
        <v>989558</v>
      </c>
      <c r="Z15" s="116">
        <f t="shared" si="29"/>
        <v>61847</v>
      </c>
      <c r="AA15" s="116">
        <f t="shared" si="30"/>
        <v>371084</v>
      </c>
      <c r="AB15" s="116">
        <f t="shared" si="31"/>
        <v>185542</v>
      </c>
      <c r="AC15" s="116">
        <f t="shared" si="32"/>
        <v>123695</v>
      </c>
      <c r="AD15" s="116">
        <f t="shared" si="33"/>
        <v>123695</v>
      </c>
      <c r="AE15" s="116">
        <f t="shared" si="34"/>
        <v>247389</v>
      </c>
      <c r="AF15" s="109"/>
      <c r="AG15" s="116"/>
      <c r="AH15" s="116">
        <f t="shared" si="17"/>
        <v>17228389</v>
      </c>
      <c r="AI15" s="109"/>
      <c r="AJ15" s="116">
        <f>AH15-'T8-24'!AH15</f>
        <v>0</v>
      </c>
      <c r="AK15" s="709"/>
      <c r="AL15" s="709"/>
      <c r="AM15" s="127" t="s">
        <v>180</v>
      </c>
      <c r="AN15" s="97">
        <v>6115</v>
      </c>
      <c r="AO15" s="98">
        <f>ROUND(((K8+I8)*2340000)*89.5%,)-2</f>
        <v>77989636</v>
      </c>
      <c r="AP15" s="98"/>
      <c r="AQ15" s="98"/>
      <c r="AR15" s="98">
        <f>ROUND(((0.4)*2340000)*89.5%,)</f>
        <v>837720</v>
      </c>
      <c r="AS15" s="98">
        <f>ROUND(((0.0384)*1800000)*89.5%,)</f>
        <v>61862</v>
      </c>
      <c r="AT15" s="98">
        <v>-1147258</v>
      </c>
      <c r="AU15" s="99">
        <f t="shared" si="18"/>
        <v>77741960</v>
      </c>
      <c r="AV15" s="99"/>
      <c r="AW15" s="132"/>
      <c r="AX15" s="101"/>
      <c r="AY15" s="98">
        <f>R6</f>
        <v>0</v>
      </c>
      <c r="AZ15" s="101"/>
      <c r="BA15" s="102"/>
      <c r="BB15" s="102"/>
      <c r="BC15" s="102"/>
      <c r="BD15" s="105"/>
      <c r="BE15" s="106"/>
    </row>
    <row r="16" spans="1:58" ht="20.25" customHeight="1" thickBot="1" x14ac:dyDescent="0.35">
      <c r="A16" s="108" t="s">
        <v>109</v>
      </c>
      <c r="B16" s="109" t="s">
        <v>12</v>
      </c>
      <c r="C16" s="110" t="s">
        <v>347</v>
      </c>
      <c r="D16" s="112" t="s">
        <v>194</v>
      </c>
      <c r="E16" s="257" t="s">
        <v>327</v>
      </c>
      <c r="F16" s="113">
        <v>4.68</v>
      </c>
      <c r="G16" s="113">
        <v>0.2</v>
      </c>
      <c r="H16" s="114"/>
      <c r="I16" s="110"/>
      <c r="J16" s="130">
        <v>24</v>
      </c>
      <c r="K16" s="115">
        <f t="shared" ref="K16" si="36">ROUND((F16+G16+I16)*J16/100,4)</f>
        <v>1.1712</v>
      </c>
      <c r="L16" s="115">
        <f t="shared" si="20"/>
        <v>6.0511999999999997</v>
      </c>
      <c r="M16" s="116">
        <f t="shared" si="21"/>
        <v>14159808</v>
      </c>
      <c r="N16" s="117">
        <v>0.5</v>
      </c>
      <c r="O16" s="397">
        <f t="shared" si="22"/>
        <v>2.44</v>
      </c>
      <c r="P16" s="116">
        <f t="shared" si="23"/>
        <v>5709600</v>
      </c>
      <c r="Q16" s="118"/>
      <c r="R16" s="116">
        <f t="shared" si="24"/>
        <v>1170000</v>
      </c>
      <c r="S16" s="119"/>
      <c r="T16" s="116">
        <f t="shared" si="25"/>
        <v>0</v>
      </c>
      <c r="U16" s="119"/>
      <c r="V16" s="120">
        <f t="shared" si="26"/>
        <v>0</v>
      </c>
      <c r="W16" s="120"/>
      <c r="X16" s="116">
        <f t="shared" si="27"/>
        <v>2407167</v>
      </c>
      <c r="Y16" s="116">
        <f t="shared" si="28"/>
        <v>1132785</v>
      </c>
      <c r="Z16" s="116">
        <f t="shared" si="29"/>
        <v>70799</v>
      </c>
      <c r="AA16" s="116">
        <f t="shared" si="30"/>
        <v>424794</v>
      </c>
      <c r="AB16" s="116">
        <f t="shared" si="31"/>
        <v>212397</v>
      </c>
      <c r="AC16" s="116">
        <f t="shared" si="32"/>
        <v>141598</v>
      </c>
      <c r="AD16" s="116">
        <f t="shared" si="33"/>
        <v>141598</v>
      </c>
      <c r="AE16" s="116">
        <f t="shared" si="34"/>
        <v>283196</v>
      </c>
      <c r="AF16" s="109"/>
      <c r="AG16" s="116"/>
      <c r="AH16" s="116">
        <f t="shared" si="17"/>
        <v>19552628</v>
      </c>
      <c r="AI16" s="109"/>
      <c r="AJ16" s="116">
        <f>AH16-'T8-24'!AH16</f>
        <v>0</v>
      </c>
      <c r="AK16" s="336" t="s">
        <v>12</v>
      </c>
      <c r="AL16" s="121"/>
      <c r="AM16" s="127" t="s">
        <v>310</v>
      </c>
      <c r="AN16" s="97">
        <v>6149</v>
      </c>
      <c r="AO16" s="98">
        <f>W8</f>
        <v>468000</v>
      </c>
      <c r="AP16" s="98"/>
      <c r="AQ16" s="98"/>
      <c r="AR16" s="98">
        <v>0</v>
      </c>
      <c r="AS16" s="98">
        <v>0</v>
      </c>
      <c r="AT16" s="98"/>
      <c r="AU16" s="99">
        <f t="shared" si="18"/>
        <v>468000</v>
      </c>
      <c r="AV16" s="99"/>
      <c r="AW16" s="132"/>
      <c r="AX16" s="101"/>
      <c r="AY16" s="98"/>
      <c r="AZ16" s="101"/>
      <c r="BA16" s="138"/>
      <c r="BB16" s="102"/>
      <c r="BC16" s="102"/>
      <c r="BD16" s="105"/>
      <c r="BE16" s="106"/>
      <c r="BF16" s="105"/>
    </row>
    <row r="17" spans="1:58" ht="20.25" customHeight="1" thickBot="1" x14ac:dyDescent="0.35">
      <c r="A17" s="108" t="s">
        <v>136</v>
      </c>
      <c r="B17" s="109" t="s">
        <v>18</v>
      </c>
      <c r="C17" s="110" t="s">
        <v>346</v>
      </c>
      <c r="D17" s="123" t="s">
        <v>197</v>
      </c>
      <c r="E17" s="325" t="s">
        <v>328</v>
      </c>
      <c r="F17" s="351">
        <v>3.66</v>
      </c>
      <c r="G17" s="351"/>
      <c r="H17" s="352"/>
      <c r="I17" s="353"/>
      <c r="J17" s="354">
        <v>18</v>
      </c>
      <c r="K17" s="115">
        <f t="shared" ref="K17:K18" si="37">ROUND((F17+G17+I17)*J17/100,4)</f>
        <v>0.65880000000000005</v>
      </c>
      <c r="L17" s="115">
        <f t="shared" si="20"/>
        <v>4.3188000000000004</v>
      </c>
      <c r="M17" s="116">
        <f t="shared" si="21"/>
        <v>10105992</v>
      </c>
      <c r="N17" s="355">
        <v>0.5</v>
      </c>
      <c r="O17" s="397">
        <f t="shared" si="22"/>
        <v>1.83</v>
      </c>
      <c r="P17" s="116">
        <f t="shared" si="23"/>
        <v>4282200</v>
      </c>
      <c r="Q17" s="118"/>
      <c r="R17" s="116">
        <f t="shared" si="24"/>
        <v>1170000</v>
      </c>
      <c r="S17" s="119"/>
      <c r="T17" s="116">
        <f t="shared" si="25"/>
        <v>0</v>
      </c>
      <c r="U17" s="119"/>
      <c r="V17" s="120">
        <f t="shared" si="26"/>
        <v>0</v>
      </c>
      <c r="W17" s="120"/>
      <c r="X17" s="116">
        <f t="shared" si="27"/>
        <v>1718019</v>
      </c>
      <c r="Y17" s="116">
        <f t="shared" si="28"/>
        <v>808479</v>
      </c>
      <c r="Z17" s="116">
        <f t="shared" si="29"/>
        <v>50530</v>
      </c>
      <c r="AA17" s="116">
        <f t="shared" si="30"/>
        <v>303180</v>
      </c>
      <c r="AB17" s="116">
        <f t="shared" si="31"/>
        <v>151590</v>
      </c>
      <c r="AC17" s="116">
        <f t="shared" si="32"/>
        <v>101060</v>
      </c>
      <c r="AD17" s="116">
        <f t="shared" si="33"/>
        <v>101060</v>
      </c>
      <c r="AE17" s="116">
        <f t="shared" si="34"/>
        <v>202120</v>
      </c>
      <c r="AF17" s="109"/>
      <c r="AG17" s="116"/>
      <c r="AH17" s="116">
        <f t="shared" si="17"/>
        <v>14497063</v>
      </c>
      <c r="AI17" s="109"/>
      <c r="AJ17" s="116">
        <f>AH17-'T8-24'!AH17</f>
        <v>0</v>
      </c>
      <c r="AK17" s="334" t="s">
        <v>18</v>
      </c>
      <c r="AL17" s="121"/>
      <c r="AN17" s="97" t="s">
        <v>311</v>
      </c>
      <c r="AO17" s="255">
        <f>SUM(AO8:AO16)</f>
        <v>777220597</v>
      </c>
      <c r="AP17" s="255">
        <f>SUM(AP8:AP16)</f>
        <v>17550234</v>
      </c>
      <c r="AQ17" s="255">
        <f>SUM(AQ8:AQ16)</f>
        <v>4680000</v>
      </c>
      <c r="AR17" s="255">
        <f>SUM(AR8:AR16)</f>
        <v>15064920</v>
      </c>
      <c r="AS17" s="255">
        <f>SUM(AS8:AS16)</f>
        <v>438512</v>
      </c>
      <c r="AT17" s="255">
        <f t="shared" ref="AT17" si="38">SUM(AT8:AT16)</f>
        <v>830276</v>
      </c>
      <c r="AU17" s="258">
        <f>SUM(AU8:AU16)</f>
        <v>815784539</v>
      </c>
      <c r="AV17" s="258">
        <f>SUM(AV8:AV16)</f>
        <v>0</v>
      </c>
      <c r="AW17" s="106"/>
      <c r="AX17" s="105"/>
      <c r="AY17" s="99"/>
      <c r="AZ17" s="99"/>
      <c r="BA17" s="99"/>
      <c r="BB17" s="99"/>
      <c r="BC17" s="99"/>
      <c r="BD17" s="105"/>
      <c r="BE17" s="106"/>
      <c r="BF17" s="134"/>
    </row>
    <row r="18" spans="1:58" ht="20.25" customHeight="1" thickBot="1" x14ac:dyDescent="0.35">
      <c r="A18" s="108" t="s">
        <v>108</v>
      </c>
      <c r="B18" s="109" t="s">
        <v>25</v>
      </c>
      <c r="C18" s="110" t="s">
        <v>347</v>
      </c>
      <c r="D18" s="112" t="s">
        <v>203</v>
      </c>
      <c r="E18" s="325" t="s">
        <v>348</v>
      </c>
      <c r="F18" s="113">
        <v>4</v>
      </c>
      <c r="G18" s="113">
        <v>0.15</v>
      </c>
      <c r="H18" s="114"/>
      <c r="I18" s="110"/>
      <c r="J18" s="126">
        <v>15</v>
      </c>
      <c r="K18" s="115">
        <f t="shared" si="37"/>
        <v>0.62250000000000005</v>
      </c>
      <c r="L18" s="115">
        <f t="shared" si="20"/>
        <v>4.7725000000000009</v>
      </c>
      <c r="M18" s="116">
        <f t="shared" si="21"/>
        <v>11167650</v>
      </c>
      <c r="N18" s="117">
        <v>0.5</v>
      </c>
      <c r="O18" s="397">
        <f t="shared" si="22"/>
        <v>2.0750000000000002</v>
      </c>
      <c r="P18" s="116">
        <f t="shared" si="23"/>
        <v>4855500</v>
      </c>
      <c r="Q18" s="118"/>
      <c r="R18" s="116">
        <f t="shared" si="24"/>
        <v>1170000</v>
      </c>
      <c r="S18" s="119"/>
      <c r="T18" s="116">
        <f t="shared" si="25"/>
        <v>0</v>
      </c>
      <c r="U18" s="119"/>
      <c r="V18" s="120">
        <f t="shared" si="26"/>
        <v>0</v>
      </c>
      <c r="W18" s="120"/>
      <c r="X18" s="116">
        <f t="shared" si="27"/>
        <v>1898501</v>
      </c>
      <c r="Y18" s="116">
        <f t="shared" si="28"/>
        <v>893412</v>
      </c>
      <c r="Z18" s="116">
        <f t="shared" si="29"/>
        <v>55838</v>
      </c>
      <c r="AA18" s="116">
        <f t="shared" si="30"/>
        <v>335030</v>
      </c>
      <c r="AB18" s="116">
        <f t="shared" si="31"/>
        <v>167515</v>
      </c>
      <c r="AC18" s="116">
        <f t="shared" si="32"/>
        <v>111677</v>
      </c>
      <c r="AD18" s="116">
        <f t="shared" si="33"/>
        <v>111677</v>
      </c>
      <c r="AE18" s="116">
        <f t="shared" si="34"/>
        <v>223353</v>
      </c>
      <c r="AF18" s="109"/>
      <c r="AG18" s="116"/>
      <c r="AH18" s="116">
        <f t="shared" si="17"/>
        <v>16020546</v>
      </c>
      <c r="AI18" s="109"/>
      <c r="AJ18" s="116">
        <f>AH18-'T8-24'!AH18</f>
        <v>0</v>
      </c>
      <c r="AK18" s="336" t="s">
        <v>25</v>
      </c>
      <c r="AL18" s="121"/>
      <c r="AN18" s="139"/>
      <c r="AO18" s="79" t="s">
        <v>312</v>
      </c>
      <c r="AP18" s="79" t="s">
        <v>386</v>
      </c>
      <c r="AQ18" s="85" t="s">
        <v>382</v>
      </c>
      <c r="AR18" s="85" t="s">
        <v>317</v>
      </c>
      <c r="AS18" s="79"/>
      <c r="AT18" s="79" t="s">
        <v>387</v>
      </c>
      <c r="AU18" s="79" t="s">
        <v>384</v>
      </c>
      <c r="AV18" s="79" t="s">
        <v>383</v>
      </c>
      <c r="AW18" s="105" t="s">
        <v>385</v>
      </c>
      <c r="AX18" s="105"/>
      <c r="AY18" s="85" t="s">
        <v>382</v>
      </c>
      <c r="AZ18" s="105"/>
      <c r="BA18" s="85" t="s">
        <v>317</v>
      </c>
      <c r="BB18" s="106"/>
      <c r="BC18" s="106"/>
      <c r="BD18" s="106"/>
      <c r="BE18" s="106"/>
    </row>
    <row r="19" spans="1:58" ht="20.25" customHeight="1" thickBot="1" x14ac:dyDescent="0.35">
      <c r="A19" s="108" t="s">
        <v>106</v>
      </c>
      <c r="B19" s="109" t="s">
        <v>93</v>
      </c>
      <c r="C19" s="110" t="s">
        <v>347</v>
      </c>
      <c r="D19" s="112" t="s">
        <v>196</v>
      </c>
      <c r="E19" s="257" t="s">
        <v>329</v>
      </c>
      <c r="F19" s="113">
        <v>4.34</v>
      </c>
      <c r="G19" s="113"/>
      <c r="H19" s="114"/>
      <c r="I19" s="110"/>
      <c r="J19" s="130">
        <v>24</v>
      </c>
      <c r="K19" s="115">
        <f t="shared" ref="K19:K26" si="39">ROUND((F19+G19+I19)*J19/100,4)</f>
        <v>1.0416000000000001</v>
      </c>
      <c r="L19" s="115">
        <f t="shared" si="20"/>
        <v>5.3815999999999997</v>
      </c>
      <c r="M19" s="116">
        <f t="shared" si="21"/>
        <v>12592944</v>
      </c>
      <c r="N19" s="117">
        <v>0.5</v>
      </c>
      <c r="O19" s="397">
        <f t="shared" si="22"/>
        <v>2.17</v>
      </c>
      <c r="P19" s="116">
        <f t="shared" si="23"/>
        <v>5077800</v>
      </c>
      <c r="Q19" s="118"/>
      <c r="R19" s="116">
        <f t="shared" si="24"/>
        <v>1170000</v>
      </c>
      <c r="S19" s="119"/>
      <c r="T19" s="116">
        <f t="shared" si="25"/>
        <v>0</v>
      </c>
      <c r="U19" s="119"/>
      <c r="V19" s="120">
        <f t="shared" si="26"/>
        <v>0</v>
      </c>
      <c r="W19" s="120"/>
      <c r="X19" s="116">
        <f t="shared" si="27"/>
        <v>2140800</v>
      </c>
      <c r="Y19" s="116">
        <f t="shared" si="28"/>
        <v>1007436</v>
      </c>
      <c r="Z19" s="116">
        <f t="shared" si="29"/>
        <v>62965</v>
      </c>
      <c r="AA19" s="116">
        <f t="shared" si="30"/>
        <v>377788</v>
      </c>
      <c r="AB19" s="116">
        <f t="shared" si="31"/>
        <v>188894</v>
      </c>
      <c r="AC19" s="116">
        <f t="shared" si="32"/>
        <v>125929</v>
      </c>
      <c r="AD19" s="116">
        <f t="shared" si="33"/>
        <v>125929</v>
      </c>
      <c r="AE19" s="116">
        <f t="shared" si="34"/>
        <v>251859</v>
      </c>
      <c r="AF19" s="109"/>
      <c r="AG19" s="116"/>
      <c r="AH19" s="116">
        <f t="shared" si="17"/>
        <v>17518485</v>
      </c>
      <c r="AI19" s="109"/>
      <c r="AJ19" s="116">
        <f>AH19-'T8-24'!AH19</f>
        <v>0</v>
      </c>
      <c r="AK19" s="334" t="s">
        <v>93</v>
      </c>
      <c r="AL19" s="121"/>
      <c r="AM19" s="127" t="s">
        <v>187</v>
      </c>
      <c r="AN19" s="140">
        <v>6001</v>
      </c>
      <c r="AO19" s="492">
        <f>(F8*2340000)*10.5%</f>
        <v>48051549.000000007</v>
      </c>
      <c r="AP19" s="492">
        <f>(4*2340000)*10.5%</f>
        <v>982800</v>
      </c>
      <c r="AQ19" s="492">
        <f>(0.15*1800000)*10.5%</f>
        <v>28350</v>
      </c>
      <c r="AR19" s="492">
        <f>(0.82*2340000)*10.5%</f>
        <v>201474</v>
      </c>
      <c r="AS19" s="141"/>
      <c r="AT19" s="142">
        <f>AO19+AP19+AQ19+AR19+AS19</f>
        <v>49264173.000000007</v>
      </c>
      <c r="AU19" s="311">
        <f>195.57*2340000</f>
        <v>457633800</v>
      </c>
      <c r="AV19" s="311">
        <f>AO19+AO8</f>
        <v>457633800</v>
      </c>
      <c r="AW19" s="105">
        <f>4*2340000</f>
        <v>9360000</v>
      </c>
      <c r="AX19" s="105">
        <f>AP19+AR8</f>
        <v>9360000</v>
      </c>
      <c r="AY19" s="106">
        <f>0.15*1800000</f>
        <v>270000</v>
      </c>
      <c r="AZ19" s="105">
        <f>AQ19+AS8</f>
        <v>270000</v>
      </c>
      <c r="BA19" s="105">
        <f>0.82*2340000</f>
        <v>1918800</v>
      </c>
      <c r="BB19" s="105">
        <f>AR19+AT8</f>
        <v>1918800</v>
      </c>
      <c r="BC19" s="143">
        <f>AV19+AX19+AZ19+BB19</f>
        <v>469182600</v>
      </c>
      <c r="BD19" s="106"/>
      <c r="BE19" s="106"/>
    </row>
    <row r="20" spans="1:58" ht="20.25" customHeight="1" thickBot="1" x14ac:dyDescent="0.35">
      <c r="A20" s="108" t="s">
        <v>105</v>
      </c>
      <c r="B20" s="109" t="s">
        <v>19</v>
      </c>
      <c r="C20" s="110" t="s">
        <v>346</v>
      </c>
      <c r="D20" s="112" t="s">
        <v>199</v>
      </c>
      <c r="E20" s="257" t="s">
        <v>330</v>
      </c>
      <c r="F20" s="113">
        <v>4.32</v>
      </c>
      <c r="G20" s="113"/>
      <c r="H20" s="356"/>
      <c r="I20" s="144"/>
      <c r="J20" s="490">
        <v>28</v>
      </c>
      <c r="K20" s="115">
        <f t="shared" si="39"/>
        <v>1.2096</v>
      </c>
      <c r="L20" s="115">
        <f t="shared" si="20"/>
        <v>5.5296000000000003</v>
      </c>
      <c r="M20" s="116">
        <f t="shared" si="21"/>
        <v>12939264</v>
      </c>
      <c r="N20" s="117">
        <v>0.5</v>
      </c>
      <c r="O20" s="397">
        <f t="shared" si="22"/>
        <v>2.16</v>
      </c>
      <c r="P20" s="116">
        <f t="shared" si="23"/>
        <v>5054400</v>
      </c>
      <c r="Q20" s="118"/>
      <c r="R20" s="116">
        <f t="shared" si="24"/>
        <v>1170000</v>
      </c>
      <c r="S20" s="119"/>
      <c r="T20" s="116">
        <f t="shared" si="25"/>
        <v>0</v>
      </c>
      <c r="U20" s="119"/>
      <c r="V20" s="120">
        <f t="shared" si="26"/>
        <v>0</v>
      </c>
      <c r="W20" s="120"/>
      <c r="X20" s="116">
        <f t="shared" si="27"/>
        <v>2199675</v>
      </c>
      <c r="Y20" s="116">
        <f t="shared" si="28"/>
        <v>1035141</v>
      </c>
      <c r="Z20" s="116">
        <f t="shared" si="29"/>
        <v>64696</v>
      </c>
      <c r="AA20" s="116">
        <f t="shared" si="30"/>
        <v>388178</v>
      </c>
      <c r="AB20" s="116">
        <f t="shared" si="31"/>
        <v>194089</v>
      </c>
      <c r="AC20" s="116">
        <f t="shared" si="32"/>
        <v>129393</v>
      </c>
      <c r="AD20" s="116">
        <f t="shared" si="33"/>
        <v>129393</v>
      </c>
      <c r="AE20" s="116">
        <f t="shared" si="34"/>
        <v>258785</v>
      </c>
      <c r="AF20" s="109"/>
      <c r="AG20" s="116"/>
      <c r="AH20" s="116">
        <f t="shared" si="17"/>
        <v>17805041</v>
      </c>
      <c r="AI20" s="109"/>
      <c r="AJ20" s="116">
        <f>AH20-'T8-24'!AH20</f>
        <v>90474</v>
      </c>
      <c r="AK20" s="334" t="s">
        <v>19</v>
      </c>
      <c r="AL20" s="121"/>
      <c r="AM20" s="127" t="s">
        <v>188</v>
      </c>
      <c r="AN20" s="140">
        <v>6051</v>
      </c>
      <c r="AO20" s="492">
        <f>(F59*2340000)*10.5%</f>
        <v>2058966</v>
      </c>
      <c r="AP20" s="492">
        <f>(G59*2340000)*10.5%</f>
        <v>0</v>
      </c>
      <c r="AQ20" s="492">
        <f>(H59*2340000)*10.5%</f>
        <v>0</v>
      </c>
      <c r="AR20" s="492">
        <f>(I59*2340000)*10.5%</f>
        <v>0</v>
      </c>
      <c r="AS20" s="142"/>
      <c r="AT20" s="142">
        <f t="shared" ref="AT20:AT26" si="40">AO20+AP20+AQ20+AR20+AS20</f>
        <v>2058966</v>
      </c>
      <c r="AU20" s="143">
        <f>F59*2340000</f>
        <v>19609200</v>
      </c>
      <c r="AV20" s="311">
        <f>AO20+AP9</f>
        <v>19609200</v>
      </c>
      <c r="AW20" s="106"/>
      <c r="AX20" s="105"/>
      <c r="AY20" s="105"/>
      <c r="AZ20" s="106"/>
      <c r="BA20" s="106"/>
      <c r="BB20" s="106"/>
      <c r="BC20" s="143">
        <f t="shared" ref="BC20:BC22" si="41">AV20+AX20+AZ20+BB20</f>
        <v>19609200</v>
      </c>
      <c r="BD20" s="106"/>
      <c r="BE20" s="106"/>
    </row>
    <row r="21" spans="1:58" ht="20.25" customHeight="1" thickBot="1" x14ac:dyDescent="0.35">
      <c r="A21" s="108" t="s">
        <v>103</v>
      </c>
      <c r="B21" s="109" t="s">
        <v>20</v>
      </c>
      <c r="C21" s="110" t="s">
        <v>347</v>
      </c>
      <c r="D21" s="112" t="s">
        <v>198</v>
      </c>
      <c r="E21" s="257" t="s">
        <v>331</v>
      </c>
      <c r="F21" s="113">
        <v>4.68</v>
      </c>
      <c r="G21" s="113"/>
      <c r="H21" s="114"/>
      <c r="I21" s="110"/>
      <c r="J21" s="130">
        <v>26</v>
      </c>
      <c r="K21" s="115">
        <f t="shared" si="39"/>
        <v>1.2168000000000001</v>
      </c>
      <c r="L21" s="115">
        <f t="shared" si="20"/>
        <v>5.8967999999999998</v>
      </c>
      <c r="M21" s="116">
        <f t="shared" si="21"/>
        <v>13798512</v>
      </c>
      <c r="N21" s="117">
        <v>0.5</v>
      </c>
      <c r="O21" s="397">
        <f t="shared" si="22"/>
        <v>2.34</v>
      </c>
      <c r="P21" s="116">
        <f t="shared" si="23"/>
        <v>5475600</v>
      </c>
      <c r="Q21" s="118"/>
      <c r="R21" s="116">
        <f t="shared" si="24"/>
        <v>1170000</v>
      </c>
      <c r="S21" s="119"/>
      <c r="T21" s="116">
        <f t="shared" si="25"/>
        <v>0</v>
      </c>
      <c r="U21" s="119"/>
      <c r="V21" s="120">
        <f t="shared" si="26"/>
        <v>0</v>
      </c>
      <c r="W21" s="120"/>
      <c r="X21" s="116">
        <f t="shared" si="27"/>
        <v>2345747</v>
      </c>
      <c r="Y21" s="116">
        <f t="shared" si="28"/>
        <v>1103881</v>
      </c>
      <c r="Z21" s="116">
        <f t="shared" si="29"/>
        <v>68993</v>
      </c>
      <c r="AA21" s="116">
        <f t="shared" si="30"/>
        <v>413955</v>
      </c>
      <c r="AB21" s="116">
        <f t="shared" si="31"/>
        <v>206978</v>
      </c>
      <c r="AC21" s="116">
        <f t="shared" si="32"/>
        <v>137985</v>
      </c>
      <c r="AD21" s="116">
        <f t="shared" si="33"/>
        <v>137985</v>
      </c>
      <c r="AE21" s="116">
        <f t="shared" si="34"/>
        <v>275970</v>
      </c>
      <c r="AF21" s="109"/>
      <c r="AG21" s="116"/>
      <c r="AH21" s="116">
        <f t="shared" si="17"/>
        <v>18995268</v>
      </c>
      <c r="AI21" s="109"/>
      <c r="AJ21" s="116">
        <f>AH21-'T8-24'!AH21</f>
        <v>114265</v>
      </c>
      <c r="AK21" s="335"/>
      <c r="AL21" s="121"/>
      <c r="AM21" s="127" t="s">
        <v>189</v>
      </c>
      <c r="AN21" s="140">
        <v>6101</v>
      </c>
      <c r="AO21" s="492">
        <f>(G8*2340000)*10.5%</f>
        <v>835380</v>
      </c>
      <c r="AP21" s="492">
        <f>(H8*2340000)*10.5%</f>
        <v>0</v>
      </c>
      <c r="AQ21" s="492"/>
      <c r="AR21" s="492"/>
      <c r="AS21" s="142"/>
      <c r="AT21" s="142">
        <f t="shared" si="40"/>
        <v>835380</v>
      </c>
      <c r="AU21" s="143">
        <f>G8*2340000</f>
        <v>7956000</v>
      </c>
      <c r="AV21" s="311">
        <f>AO21+AO10</f>
        <v>7956000</v>
      </c>
      <c r="AW21" s="105"/>
      <c r="AX21" s="146"/>
      <c r="AY21" s="105"/>
      <c r="AZ21" s="147"/>
      <c r="BA21" s="147"/>
      <c r="BB21" s="102"/>
      <c r="BC21" s="143">
        <f t="shared" si="41"/>
        <v>7956000</v>
      </c>
      <c r="BD21" s="102"/>
      <c r="BE21" s="316"/>
    </row>
    <row r="22" spans="1:58" ht="20.25" customHeight="1" thickBot="1" x14ac:dyDescent="0.35">
      <c r="A22" s="108" t="s">
        <v>142</v>
      </c>
      <c r="B22" s="109" t="s">
        <v>21</v>
      </c>
      <c r="C22" s="110" t="s">
        <v>347</v>
      </c>
      <c r="D22" s="112" t="s">
        <v>297</v>
      </c>
      <c r="E22" s="257" t="s">
        <v>332</v>
      </c>
      <c r="F22" s="113">
        <v>4</v>
      </c>
      <c r="G22" s="113"/>
      <c r="H22" s="357"/>
      <c r="I22" s="110"/>
      <c r="J22" s="491">
        <v>18</v>
      </c>
      <c r="K22" s="115">
        <f t="shared" si="39"/>
        <v>0.72</v>
      </c>
      <c r="L22" s="115">
        <f t="shared" si="20"/>
        <v>4.72</v>
      </c>
      <c r="M22" s="116">
        <f t="shared" si="21"/>
        <v>11044800</v>
      </c>
      <c r="N22" s="117">
        <v>0.5</v>
      </c>
      <c r="O22" s="397">
        <f t="shared" si="22"/>
        <v>2</v>
      </c>
      <c r="P22" s="116">
        <f t="shared" si="23"/>
        <v>4680000</v>
      </c>
      <c r="Q22" s="118"/>
      <c r="R22" s="116">
        <f t="shared" si="24"/>
        <v>1170000</v>
      </c>
      <c r="S22" s="119"/>
      <c r="T22" s="116">
        <f t="shared" si="25"/>
        <v>0</v>
      </c>
      <c r="U22" s="119"/>
      <c r="V22" s="120">
        <f t="shared" si="26"/>
        <v>0</v>
      </c>
      <c r="W22" s="120"/>
      <c r="X22" s="116">
        <f t="shared" si="27"/>
        <v>1877616</v>
      </c>
      <c r="Y22" s="116">
        <f t="shared" si="28"/>
        <v>883584</v>
      </c>
      <c r="Z22" s="116">
        <f t="shared" si="29"/>
        <v>55224</v>
      </c>
      <c r="AA22" s="116">
        <f t="shared" si="30"/>
        <v>331344</v>
      </c>
      <c r="AB22" s="116">
        <f t="shared" si="31"/>
        <v>165672</v>
      </c>
      <c r="AC22" s="116">
        <f t="shared" si="32"/>
        <v>110448</v>
      </c>
      <c r="AD22" s="116">
        <f t="shared" si="33"/>
        <v>110448</v>
      </c>
      <c r="AE22" s="116">
        <f t="shared" si="34"/>
        <v>220896</v>
      </c>
      <c r="AF22" s="109"/>
      <c r="AG22" s="116"/>
      <c r="AH22" s="116">
        <f t="shared" si="17"/>
        <v>15735096</v>
      </c>
      <c r="AI22" s="109"/>
      <c r="AJ22" s="116">
        <f>AH22-'T8-24'!AH22</f>
        <v>83772</v>
      </c>
      <c r="AK22" s="334" t="s">
        <v>21</v>
      </c>
      <c r="AL22" s="121"/>
      <c r="AM22" s="148" t="s">
        <v>190</v>
      </c>
      <c r="AN22" s="140">
        <v>6115</v>
      </c>
      <c r="AO22" s="492">
        <f>((I8+K8)*2340000)*10.5%+2</f>
        <v>9149624.2999999989</v>
      </c>
      <c r="AP22" s="492">
        <f>0.4*2340000*10.5%</f>
        <v>98280</v>
      </c>
      <c r="AQ22" s="492">
        <f>0.0384*1800000*10.5%</f>
        <v>7257.5999999999995</v>
      </c>
      <c r="AR22" s="492">
        <v>-134594</v>
      </c>
      <c r="AS22" s="141"/>
      <c r="AT22" s="142">
        <f t="shared" si="40"/>
        <v>9120567.8999999985</v>
      </c>
      <c r="AU22" s="143">
        <f>(37.036+0.203)*2340000</f>
        <v>87139260.000000015</v>
      </c>
      <c r="AV22" s="311">
        <f>AO15+AO22</f>
        <v>87139260.299999997</v>
      </c>
      <c r="AW22" s="105">
        <f>0.4*2340000</f>
        <v>936000</v>
      </c>
      <c r="AX22" s="146">
        <f>AR15+AP22</f>
        <v>936000</v>
      </c>
      <c r="AY22" s="143">
        <f>0.0384*1800000</f>
        <v>69120</v>
      </c>
      <c r="AZ22" s="150">
        <f>AQ22+AS15</f>
        <v>69119.600000000006</v>
      </c>
      <c r="BA22" s="150">
        <f>(0.0498*2340000)+(-0.5976*2340000)</f>
        <v>-1281852</v>
      </c>
      <c r="BB22" s="151">
        <f>AR22+AT15</f>
        <v>-1281852</v>
      </c>
      <c r="BC22" s="143">
        <f t="shared" si="41"/>
        <v>86862527.899999991</v>
      </c>
      <c r="BD22" s="102"/>
      <c r="BE22" s="138"/>
    </row>
    <row r="23" spans="1:58" ht="20.25" customHeight="1" thickBot="1" x14ac:dyDescent="0.35">
      <c r="A23" s="108" t="s">
        <v>143</v>
      </c>
      <c r="B23" s="109" t="s">
        <v>26</v>
      </c>
      <c r="C23" s="110" t="s">
        <v>346</v>
      </c>
      <c r="D23" s="112" t="s">
        <v>203</v>
      </c>
      <c r="E23" s="325" t="s">
        <v>348</v>
      </c>
      <c r="F23" s="124">
        <v>3.66</v>
      </c>
      <c r="G23" s="124"/>
      <c r="H23" s="152"/>
      <c r="I23" s="152"/>
      <c r="J23" s="126">
        <v>15</v>
      </c>
      <c r="K23" s="115">
        <f t="shared" si="39"/>
        <v>0.54900000000000004</v>
      </c>
      <c r="L23" s="115">
        <f t="shared" si="20"/>
        <v>4.2090000000000005</v>
      </c>
      <c r="M23" s="116">
        <f t="shared" si="21"/>
        <v>9849060</v>
      </c>
      <c r="N23" s="117">
        <v>0.5</v>
      </c>
      <c r="O23" s="397">
        <f t="shared" si="22"/>
        <v>1.83</v>
      </c>
      <c r="P23" s="116">
        <f t="shared" si="23"/>
        <v>4282200</v>
      </c>
      <c r="Q23" s="118"/>
      <c r="R23" s="116">
        <f t="shared" si="24"/>
        <v>1170000</v>
      </c>
      <c r="S23" s="119"/>
      <c r="T23" s="116">
        <f t="shared" si="25"/>
        <v>0</v>
      </c>
      <c r="U23" s="119"/>
      <c r="V23" s="120">
        <f t="shared" si="26"/>
        <v>0</v>
      </c>
      <c r="W23" s="120"/>
      <c r="X23" s="116">
        <f t="shared" si="27"/>
        <v>1674340</v>
      </c>
      <c r="Y23" s="116">
        <f t="shared" si="28"/>
        <v>787925</v>
      </c>
      <c r="Z23" s="116">
        <f t="shared" si="29"/>
        <v>49245</v>
      </c>
      <c r="AA23" s="116">
        <f t="shared" si="30"/>
        <v>295472</v>
      </c>
      <c r="AB23" s="116">
        <f t="shared" si="31"/>
        <v>147736</v>
      </c>
      <c r="AC23" s="116">
        <f t="shared" si="32"/>
        <v>98491</v>
      </c>
      <c r="AD23" s="116">
        <f t="shared" si="33"/>
        <v>98491</v>
      </c>
      <c r="AE23" s="116">
        <f t="shared" si="34"/>
        <v>196981</v>
      </c>
      <c r="AF23" s="109"/>
      <c r="AG23" s="116"/>
      <c r="AH23" s="116">
        <f t="shared" si="17"/>
        <v>14267108</v>
      </c>
      <c r="AI23" s="109"/>
      <c r="AJ23" s="116">
        <f>AH23-'T8-24'!AH23</f>
        <v>0</v>
      </c>
      <c r="AK23" s="334" t="s">
        <v>26</v>
      </c>
      <c r="AL23" s="121"/>
      <c r="AM23" s="148">
        <v>0.17</v>
      </c>
      <c r="AN23" s="140">
        <v>6301</v>
      </c>
      <c r="AO23" s="493">
        <f>X64</f>
        <v>97297504</v>
      </c>
      <c r="AP23" s="142">
        <v>1750320</v>
      </c>
      <c r="AQ23" s="142">
        <v>57650</v>
      </c>
      <c r="AR23" s="142">
        <v>108281</v>
      </c>
      <c r="AS23" s="149"/>
      <c r="AT23" s="142">
        <f t="shared" si="40"/>
        <v>99213755</v>
      </c>
      <c r="AU23" s="143"/>
      <c r="AV23" s="311"/>
      <c r="AW23" s="145"/>
      <c r="AX23" s="153"/>
      <c r="AY23" s="106"/>
      <c r="AZ23" s="147"/>
      <c r="BA23" s="147"/>
      <c r="BB23" s="699"/>
      <c r="BC23" s="699"/>
      <c r="BD23" s="699"/>
      <c r="BE23" s="699"/>
    </row>
    <row r="24" spans="1:58" ht="20.25" customHeight="1" thickBot="1" x14ac:dyDescent="0.35">
      <c r="A24" s="108" t="s">
        <v>101</v>
      </c>
      <c r="B24" s="109" t="s">
        <v>94</v>
      </c>
      <c r="C24" s="110" t="s">
        <v>346</v>
      </c>
      <c r="D24" s="123" t="s">
        <v>203</v>
      </c>
      <c r="E24" s="325" t="s">
        <v>348</v>
      </c>
      <c r="F24" s="113">
        <v>3.66</v>
      </c>
      <c r="G24" s="358">
        <v>0.2</v>
      </c>
      <c r="H24" s="114"/>
      <c r="I24" s="110"/>
      <c r="J24" s="126">
        <v>15</v>
      </c>
      <c r="K24" s="115">
        <f t="shared" si="39"/>
        <v>0.57899999999999996</v>
      </c>
      <c r="L24" s="115">
        <f t="shared" si="20"/>
        <v>4.4390000000000001</v>
      </c>
      <c r="M24" s="116">
        <f t="shared" si="21"/>
        <v>10387260</v>
      </c>
      <c r="N24" s="117">
        <v>0.5</v>
      </c>
      <c r="O24" s="397">
        <f t="shared" si="22"/>
        <v>1.9300000000000002</v>
      </c>
      <c r="P24" s="116">
        <f t="shared" si="23"/>
        <v>4516200</v>
      </c>
      <c r="Q24" s="118"/>
      <c r="R24" s="116">
        <f t="shared" si="24"/>
        <v>1170000</v>
      </c>
      <c r="S24" s="119"/>
      <c r="T24" s="116">
        <f t="shared" si="25"/>
        <v>0</v>
      </c>
      <c r="U24" s="119"/>
      <c r="V24" s="120">
        <f t="shared" si="26"/>
        <v>0</v>
      </c>
      <c r="W24" s="120"/>
      <c r="X24" s="116">
        <f t="shared" si="27"/>
        <v>1765834</v>
      </c>
      <c r="Y24" s="116">
        <f t="shared" si="28"/>
        <v>830981</v>
      </c>
      <c r="Z24" s="116">
        <f t="shared" si="29"/>
        <v>51936</v>
      </c>
      <c r="AA24" s="116">
        <f t="shared" si="30"/>
        <v>311618</v>
      </c>
      <c r="AB24" s="116">
        <f t="shared" si="31"/>
        <v>155809</v>
      </c>
      <c r="AC24" s="116">
        <f t="shared" si="32"/>
        <v>103873</v>
      </c>
      <c r="AD24" s="116">
        <f t="shared" si="33"/>
        <v>103873</v>
      </c>
      <c r="AE24" s="116">
        <f t="shared" si="34"/>
        <v>207745</v>
      </c>
      <c r="AF24" s="109"/>
      <c r="AG24" s="116"/>
      <c r="AH24" s="116">
        <f t="shared" si="17"/>
        <v>14982797</v>
      </c>
      <c r="AI24" s="109"/>
      <c r="AJ24" s="116">
        <f>AH24-'T8-24'!AH24</f>
        <v>0</v>
      </c>
      <c r="AK24" s="334" t="s">
        <v>94</v>
      </c>
      <c r="AL24" s="121"/>
      <c r="AM24" s="148">
        <v>0.03</v>
      </c>
      <c r="AN24" s="140">
        <v>6302</v>
      </c>
      <c r="AO24" s="493">
        <f>AA64</f>
        <v>17170148</v>
      </c>
      <c r="AP24" s="142">
        <v>308880</v>
      </c>
      <c r="AQ24" s="142">
        <v>10174</v>
      </c>
      <c r="AR24" s="142">
        <v>19108</v>
      </c>
      <c r="AS24" s="149"/>
      <c r="AT24" s="142">
        <f t="shared" si="40"/>
        <v>17508310</v>
      </c>
      <c r="AU24" s="143"/>
      <c r="AV24" s="311"/>
      <c r="AW24" s="105"/>
      <c r="AX24" s="153"/>
      <c r="AY24" s="106"/>
      <c r="AZ24" s="147"/>
      <c r="BA24" s="147"/>
      <c r="BB24" s="699"/>
      <c r="BC24" s="699"/>
      <c r="BD24" s="699"/>
      <c r="BE24" s="699"/>
    </row>
    <row r="25" spans="1:58" ht="20.25" customHeight="1" thickBot="1" x14ac:dyDescent="0.35">
      <c r="A25" s="108" t="s">
        <v>92</v>
      </c>
      <c r="B25" s="109" t="s">
        <v>88</v>
      </c>
      <c r="C25" s="110" t="s">
        <v>346</v>
      </c>
      <c r="D25" s="112" t="s">
        <v>200</v>
      </c>
      <c r="E25" s="325" t="s">
        <v>348</v>
      </c>
      <c r="F25" s="124">
        <v>3.66</v>
      </c>
      <c r="G25" s="124"/>
      <c r="H25" s="125"/>
      <c r="I25" s="110"/>
      <c r="J25" s="130">
        <v>17</v>
      </c>
      <c r="K25" s="115">
        <f t="shared" si="39"/>
        <v>0.62219999999999998</v>
      </c>
      <c r="L25" s="115">
        <f t="shared" si="20"/>
        <v>4.2822000000000005</v>
      </c>
      <c r="M25" s="116">
        <f t="shared" si="21"/>
        <v>10020348</v>
      </c>
      <c r="N25" s="117">
        <v>0.5</v>
      </c>
      <c r="O25" s="397">
        <f t="shared" si="22"/>
        <v>1.83</v>
      </c>
      <c r="P25" s="116">
        <f t="shared" si="23"/>
        <v>4282200</v>
      </c>
      <c r="Q25" s="118"/>
      <c r="R25" s="116">
        <f t="shared" si="24"/>
        <v>1170000</v>
      </c>
      <c r="S25" s="119"/>
      <c r="T25" s="116">
        <f t="shared" si="25"/>
        <v>0</v>
      </c>
      <c r="U25" s="119"/>
      <c r="V25" s="120">
        <f t="shared" si="26"/>
        <v>0</v>
      </c>
      <c r="W25" s="120"/>
      <c r="X25" s="116">
        <f t="shared" si="27"/>
        <v>1703459</v>
      </c>
      <c r="Y25" s="116">
        <f t="shared" si="28"/>
        <v>801628</v>
      </c>
      <c r="Z25" s="116">
        <f t="shared" si="29"/>
        <v>50102</v>
      </c>
      <c r="AA25" s="116">
        <f t="shared" si="30"/>
        <v>300610</v>
      </c>
      <c r="AB25" s="116">
        <f t="shared" si="31"/>
        <v>150305</v>
      </c>
      <c r="AC25" s="116">
        <f t="shared" si="32"/>
        <v>100203</v>
      </c>
      <c r="AD25" s="116">
        <f t="shared" si="33"/>
        <v>100203</v>
      </c>
      <c r="AE25" s="116">
        <f t="shared" si="34"/>
        <v>200407</v>
      </c>
      <c r="AF25" s="109"/>
      <c r="AG25" s="116"/>
      <c r="AH25" s="116">
        <f t="shared" si="17"/>
        <v>14420412</v>
      </c>
      <c r="AI25" s="109"/>
      <c r="AJ25" s="116">
        <f>AH25-'T8-24'!AH25</f>
        <v>0</v>
      </c>
      <c r="AK25" s="334" t="s">
        <v>88</v>
      </c>
      <c r="AL25" s="121"/>
      <c r="AM25" s="148">
        <v>0.01</v>
      </c>
      <c r="AN25" s="140">
        <v>6304</v>
      </c>
      <c r="AO25" s="494">
        <f>AD64</f>
        <v>5723384</v>
      </c>
      <c r="AP25" s="149">
        <v>102960</v>
      </c>
      <c r="AQ25" s="149">
        <v>3391</v>
      </c>
      <c r="AR25" s="149">
        <v>6369</v>
      </c>
      <c r="AS25" s="142"/>
      <c r="AT25" s="142">
        <f t="shared" si="40"/>
        <v>5836104</v>
      </c>
      <c r="AU25" s="143"/>
      <c r="AV25" s="311"/>
      <c r="AW25" s="106"/>
      <c r="AX25" s="153"/>
      <c r="AY25" s="106"/>
      <c r="AZ25" s="154"/>
      <c r="BA25" s="154"/>
      <c r="BB25" s="102"/>
      <c r="BC25" s="102"/>
      <c r="BD25" s="102"/>
      <c r="BE25" s="138"/>
    </row>
    <row r="26" spans="1:58" ht="20.25" customHeight="1" thickBot="1" x14ac:dyDescent="0.35">
      <c r="A26" s="108" t="s">
        <v>134</v>
      </c>
      <c r="B26" s="109" t="s">
        <v>10</v>
      </c>
      <c r="C26" s="110" t="s">
        <v>346</v>
      </c>
      <c r="D26" s="112" t="s">
        <v>204</v>
      </c>
      <c r="E26" s="257" t="s">
        <v>333</v>
      </c>
      <c r="F26" s="113">
        <v>3.66</v>
      </c>
      <c r="G26" s="113"/>
      <c r="H26" s="114"/>
      <c r="I26" s="110"/>
      <c r="J26" s="130">
        <v>14</v>
      </c>
      <c r="K26" s="115">
        <f t="shared" si="39"/>
        <v>0.51239999999999997</v>
      </c>
      <c r="L26" s="115">
        <f t="shared" si="20"/>
        <v>4.1723999999999997</v>
      </c>
      <c r="M26" s="116">
        <f t="shared" si="21"/>
        <v>9763416</v>
      </c>
      <c r="N26" s="117">
        <v>0.5</v>
      </c>
      <c r="O26" s="397">
        <f t="shared" si="22"/>
        <v>1.83</v>
      </c>
      <c r="P26" s="116">
        <f t="shared" si="23"/>
        <v>4282200</v>
      </c>
      <c r="Q26" s="118"/>
      <c r="R26" s="116">
        <f t="shared" si="24"/>
        <v>1170000</v>
      </c>
      <c r="S26" s="119">
        <v>0.3</v>
      </c>
      <c r="T26" s="116">
        <f t="shared" si="25"/>
        <v>702000</v>
      </c>
      <c r="U26" s="119"/>
      <c r="V26" s="120">
        <f t="shared" si="26"/>
        <v>0</v>
      </c>
      <c r="W26" s="120">
        <f>0.2*2340000</f>
        <v>468000</v>
      </c>
      <c r="X26" s="116">
        <f t="shared" si="27"/>
        <v>1659781</v>
      </c>
      <c r="Y26" s="116">
        <f t="shared" si="28"/>
        <v>781073</v>
      </c>
      <c r="Z26" s="116">
        <f t="shared" si="29"/>
        <v>48817</v>
      </c>
      <c r="AA26" s="116">
        <f t="shared" si="30"/>
        <v>292902</v>
      </c>
      <c r="AB26" s="116">
        <f t="shared" si="31"/>
        <v>146451</v>
      </c>
      <c r="AC26" s="116">
        <f t="shared" si="32"/>
        <v>97634</v>
      </c>
      <c r="AD26" s="116">
        <f t="shared" si="33"/>
        <v>97634</v>
      </c>
      <c r="AE26" s="116">
        <f t="shared" si="34"/>
        <v>195268</v>
      </c>
      <c r="AF26" s="109"/>
      <c r="AG26" s="116"/>
      <c r="AH26" s="116">
        <f t="shared" si="17"/>
        <v>15360458</v>
      </c>
      <c r="AI26" s="109"/>
      <c r="AJ26" s="116">
        <f>AH26-'T8-24'!AH26</f>
        <v>76653</v>
      </c>
      <c r="AK26" s="334" t="s">
        <v>10</v>
      </c>
      <c r="AL26" s="121"/>
      <c r="AM26" s="127">
        <v>0.5</v>
      </c>
      <c r="AN26" s="101"/>
      <c r="AO26" s="495">
        <f>Z64</f>
        <v>2861691</v>
      </c>
      <c r="AP26" s="98">
        <v>51480</v>
      </c>
      <c r="AQ26" s="98">
        <v>1696</v>
      </c>
      <c r="AR26" s="98">
        <v>3185</v>
      </c>
      <c r="AS26" s="142"/>
      <c r="AT26" s="142">
        <f t="shared" si="40"/>
        <v>2918052</v>
      </c>
      <c r="AU26" s="143"/>
      <c r="AV26" s="311"/>
      <c r="AW26" s="106"/>
      <c r="AX26" s="153"/>
      <c r="AY26" s="106"/>
      <c r="AZ26" s="154"/>
      <c r="BA26" s="154"/>
      <c r="BB26" s="102">
        <f>BA22-BB22</f>
        <v>0</v>
      </c>
      <c r="BC26" s="102"/>
      <c r="BD26" s="102"/>
      <c r="BE26" s="138"/>
    </row>
    <row r="27" spans="1:58" ht="20.25" customHeight="1" thickBot="1" x14ac:dyDescent="0.35">
      <c r="A27" s="108" t="s">
        <v>97</v>
      </c>
      <c r="B27" s="109" t="s">
        <v>95</v>
      </c>
      <c r="C27" s="110" t="s">
        <v>346</v>
      </c>
      <c r="D27" s="112" t="s">
        <v>203</v>
      </c>
      <c r="E27" s="325" t="s">
        <v>348</v>
      </c>
      <c r="F27" s="113">
        <v>3.66</v>
      </c>
      <c r="G27" s="113">
        <v>0.2</v>
      </c>
      <c r="H27" s="114"/>
      <c r="I27" s="110"/>
      <c r="J27" s="126">
        <v>15</v>
      </c>
      <c r="K27" s="115">
        <f t="shared" ref="K27:K51" si="42">ROUND((F27+G27+I27)*J27/100,4)</f>
        <v>0.57899999999999996</v>
      </c>
      <c r="L27" s="115">
        <f t="shared" si="20"/>
        <v>4.4390000000000001</v>
      </c>
      <c r="M27" s="116">
        <f t="shared" si="21"/>
        <v>10387260</v>
      </c>
      <c r="N27" s="117">
        <v>0.5</v>
      </c>
      <c r="O27" s="397">
        <f t="shared" si="22"/>
        <v>1.9300000000000002</v>
      </c>
      <c r="P27" s="116">
        <f t="shared" si="23"/>
        <v>4516200</v>
      </c>
      <c r="Q27" s="118"/>
      <c r="R27" s="116">
        <f t="shared" si="24"/>
        <v>1170000</v>
      </c>
      <c r="S27" s="119"/>
      <c r="T27" s="116">
        <f t="shared" si="25"/>
        <v>0</v>
      </c>
      <c r="U27" s="119"/>
      <c r="V27" s="120">
        <f t="shared" si="26"/>
        <v>0</v>
      </c>
      <c r="W27" s="120"/>
      <c r="X27" s="116">
        <f t="shared" si="27"/>
        <v>1765834</v>
      </c>
      <c r="Y27" s="116">
        <f t="shared" si="28"/>
        <v>830981</v>
      </c>
      <c r="Z27" s="116">
        <f t="shared" si="29"/>
        <v>51936</v>
      </c>
      <c r="AA27" s="116">
        <f t="shared" si="30"/>
        <v>311618</v>
      </c>
      <c r="AB27" s="116">
        <f t="shared" si="31"/>
        <v>155809</v>
      </c>
      <c r="AC27" s="116">
        <f t="shared" si="32"/>
        <v>103873</v>
      </c>
      <c r="AD27" s="116">
        <f t="shared" si="33"/>
        <v>103873</v>
      </c>
      <c r="AE27" s="116">
        <f t="shared" si="34"/>
        <v>207745</v>
      </c>
      <c r="AF27" s="109"/>
      <c r="AG27" s="116"/>
      <c r="AH27" s="116">
        <f t="shared" si="17"/>
        <v>14982797</v>
      </c>
      <c r="AI27" s="109"/>
      <c r="AJ27" s="116">
        <f>AH27-'T8-24'!AH27</f>
        <v>0</v>
      </c>
      <c r="AK27" s="336" t="s">
        <v>95</v>
      </c>
      <c r="AL27" s="121"/>
      <c r="AN27" s="256" t="s">
        <v>311</v>
      </c>
      <c r="AO27" s="496">
        <f>SUM(AO19:AO26)</f>
        <v>183148246.30000001</v>
      </c>
      <c r="AP27" s="496">
        <f t="shared" ref="AP27:AT27" si="43">SUM(AP19:AP26)</f>
        <v>3294720</v>
      </c>
      <c r="AQ27" s="496">
        <f t="shared" si="43"/>
        <v>108518.6</v>
      </c>
      <c r="AR27" s="496">
        <f t="shared" si="43"/>
        <v>203823</v>
      </c>
      <c r="AS27" s="496">
        <f t="shared" si="43"/>
        <v>0</v>
      </c>
      <c r="AT27" s="496">
        <f t="shared" si="43"/>
        <v>186755307.90000001</v>
      </c>
      <c r="AU27" s="145"/>
      <c r="AV27" s="145"/>
      <c r="AW27" s="106"/>
      <c r="AX27" s="106"/>
      <c r="AY27" s="106"/>
      <c r="AZ27" s="106"/>
      <c r="BA27" s="106"/>
      <c r="BB27" s="106"/>
      <c r="BC27" s="106"/>
      <c r="BD27" s="106"/>
      <c r="BE27" s="106"/>
    </row>
    <row r="28" spans="1:58" ht="20.25" customHeight="1" thickBot="1" x14ac:dyDescent="0.35">
      <c r="A28" s="108" t="s">
        <v>99</v>
      </c>
      <c r="B28" s="109" t="s">
        <v>22</v>
      </c>
      <c r="C28" s="110" t="s">
        <v>346</v>
      </c>
      <c r="D28" s="123" t="s">
        <v>205</v>
      </c>
      <c r="E28" s="325" t="s">
        <v>328</v>
      </c>
      <c r="F28" s="124">
        <v>3.33</v>
      </c>
      <c r="G28" s="124"/>
      <c r="H28" s="152"/>
      <c r="I28" s="110"/>
      <c r="J28" s="126">
        <v>12</v>
      </c>
      <c r="K28" s="115">
        <f t="shared" si="42"/>
        <v>0.39960000000000001</v>
      </c>
      <c r="L28" s="115">
        <f t="shared" si="20"/>
        <v>3.7296</v>
      </c>
      <c r="M28" s="116">
        <f t="shared" si="21"/>
        <v>8727264</v>
      </c>
      <c r="N28" s="117">
        <v>0.5</v>
      </c>
      <c r="O28" s="397">
        <f t="shared" si="22"/>
        <v>1.665</v>
      </c>
      <c r="P28" s="116">
        <f t="shared" si="23"/>
        <v>3896100</v>
      </c>
      <c r="Q28" s="118"/>
      <c r="R28" s="116">
        <f t="shared" si="24"/>
        <v>1170000</v>
      </c>
      <c r="S28" s="119"/>
      <c r="T28" s="116">
        <f t="shared" si="25"/>
        <v>0</v>
      </c>
      <c r="U28" s="119"/>
      <c r="V28" s="120">
        <f t="shared" si="26"/>
        <v>0</v>
      </c>
      <c r="W28" s="120"/>
      <c r="X28" s="116">
        <f t="shared" si="27"/>
        <v>1483635</v>
      </c>
      <c r="Y28" s="116">
        <f t="shared" si="28"/>
        <v>698181</v>
      </c>
      <c r="Z28" s="116">
        <f t="shared" si="29"/>
        <v>43636</v>
      </c>
      <c r="AA28" s="116">
        <f t="shared" si="30"/>
        <v>261818</v>
      </c>
      <c r="AB28" s="116">
        <f t="shared" si="31"/>
        <v>130909</v>
      </c>
      <c r="AC28" s="116">
        <f t="shared" si="32"/>
        <v>87273</v>
      </c>
      <c r="AD28" s="116">
        <f t="shared" si="33"/>
        <v>87273</v>
      </c>
      <c r="AE28" s="116">
        <f t="shared" si="34"/>
        <v>174545</v>
      </c>
      <c r="AF28" s="109"/>
      <c r="AG28" s="116"/>
      <c r="AH28" s="116">
        <f t="shared" si="17"/>
        <v>12877001</v>
      </c>
      <c r="AI28" s="109"/>
      <c r="AJ28" s="116">
        <f>AH28-'T8-24'!AH28</f>
        <v>0</v>
      </c>
      <c r="AK28" s="334" t="s">
        <v>22</v>
      </c>
      <c r="AL28" s="121"/>
      <c r="AN28" s="106"/>
      <c r="AO28" s="311"/>
      <c r="AP28" s="143"/>
      <c r="AQ28" s="143"/>
      <c r="AR28" s="143"/>
      <c r="AS28" s="143"/>
      <c r="AT28" s="143"/>
      <c r="AU28" s="105"/>
      <c r="AV28" s="105"/>
      <c r="AW28" s="106"/>
      <c r="AX28" s="106"/>
      <c r="AY28" s="105"/>
      <c r="AZ28" s="106"/>
      <c r="BA28" s="106"/>
      <c r="BB28" s="106"/>
      <c r="BC28" s="106"/>
      <c r="BD28" s="106"/>
      <c r="BE28" s="106"/>
    </row>
    <row r="29" spans="1:58" ht="20.25" customHeight="1" thickTop="1" thickBot="1" x14ac:dyDescent="0.35">
      <c r="A29" s="108" t="s">
        <v>91</v>
      </c>
      <c r="B29" s="109" t="s">
        <v>3</v>
      </c>
      <c r="C29" s="110" t="s">
        <v>347</v>
      </c>
      <c r="D29" s="112" t="s">
        <v>194</v>
      </c>
      <c r="E29" s="329" t="s">
        <v>334</v>
      </c>
      <c r="F29" s="113">
        <v>5.0199999999999996</v>
      </c>
      <c r="G29" s="113"/>
      <c r="H29" s="114"/>
      <c r="I29" s="110"/>
      <c r="J29" s="130">
        <v>25</v>
      </c>
      <c r="K29" s="115">
        <f t="shared" si="42"/>
        <v>1.2549999999999999</v>
      </c>
      <c r="L29" s="115">
        <f t="shared" si="20"/>
        <v>6.2749999999999995</v>
      </c>
      <c r="M29" s="116">
        <f t="shared" si="21"/>
        <v>14683500</v>
      </c>
      <c r="N29" s="117">
        <v>0.5</v>
      </c>
      <c r="O29" s="397">
        <f t="shared" si="22"/>
        <v>2.5099999999999998</v>
      </c>
      <c r="P29" s="116">
        <f t="shared" si="23"/>
        <v>5873400</v>
      </c>
      <c r="Q29" s="118"/>
      <c r="R29" s="116">
        <f t="shared" si="24"/>
        <v>1170000</v>
      </c>
      <c r="S29" s="119"/>
      <c r="T29" s="116">
        <f t="shared" si="25"/>
        <v>0</v>
      </c>
      <c r="U29" s="119"/>
      <c r="V29" s="120">
        <f t="shared" si="26"/>
        <v>0</v>
      </c>
      <c r="W29" s="120"/>
      <c r="X29" s="116">
        <f t="shared" si="27"/>
        <v>2496195</v>
      </c>
      <c r="Y29" s="116">
        <f t="shared" si="28"/>
        <v>1174680</v>
      </c>
      <c r="Z29" s="116">
        <f t="shared" si="29"/>
        <v>73418</v>
      </c>
      <c r="AA29" s="116">
        <f t="shared" si="30"/>
        <v>440505</v>
      </c>
      <c r="AB29" s="116">
        <f t="shared" si="31"/>
        <v>220253</v>
      </c>
      <c r="AC29" s="116">
        <f t="shared" si="32"/>
        <v>146835</v>
      </c>
      <c r="AD29" s="116">
        <f t="shared" si="33"/>
        <v>146835</v>
      </c>
      <c r="AE29" s="116">
        <f t="shared" si="34"/>
        <v>293670</v>
      </c>
      <c r="AF29" s="109"/>
      <c r="AG29" s="116"/>
      <c r="AH29" s="116">
        <f t="shared" si="17"/>
        <v>20185132</v>
      </c>
      <c r="AI29" s="109"/>
      <c r="AJ29" s="116">
        <f>AH29-'T8-24'!AH29</f>
        <v>0</v>
      </c>
      <c r="AK29" s="334" t="s">
        <v>3</v>
      </c>
      <c r="AL29" s="121"/>
      <c r="AM29" s="155">
        <v>0.02</v>
      </c>
      <c r="AN29" s="156" t="s">
        <v>43</v>
      </c>
      <c r="AO29" s="497">
        <f>11446762+12739+6782+205920</f>
        <v>11672203</v>
      </c>
      <c r="AP29" s="158"/>
      <c r="AQ29" s="158"/>
      <c r="AR29" s="158"/>
      <c r="AS29" s="158"/>
      <c r="AT29" s="157"/>
      <c r="AU29" s="102">
        <f>AR29-AQ29</f>
        <v>0</v>
      </c>
      <c r="AV29" s="102"/>
      <c r="AW29" s="106"/>
      <c r="AX29" s="708"/>
      <c r="AY29" s="105"/>
      <c r="AZ29" s="106"/>
      <c r="BA29" s="106"/>
      <c r="BB29" s="106"/>
      <c r="BC29" s="106"/>
      <c r="BD29" s="106"/>
      <c r="BE29" s="106"/>
    </row>
    <row r="30" spans="1:58" ht="20.25" customHeight="1" thickTop="1" thickBot="1" x14ac:dyDescent="0.35">
      <c r="A30" s="108" t="s">
        <v>144</v>
      </c>
      <c r="B30" s="109" t="s">
        <v>67</v>
      </c>
      <c r="C30" s="110" t="s">
        <v>347</v>
      </c>
      <c r="D30" s="112" t="s">
        <v>202</v>
      </c>
      <c r="E30" s="257" t="s">
        <v>325</v>
      </c>
      <c r="F30" s="124">
        <v>5.0199999999999996</v>
      </c>
      <c r="G30" s="124"/>
      <c r="H30" s="125"/>
      <c r="I30" s="110"/>
      <c r="J30" s="130">
        <v>28</v>
      </c>
      <c r="K30" s="115">
        <f t="shared" si="42"/>
        <v>1.4056</v>
      </c>
      <c r="L30" s="115">
        <f t="shared" si="20"/>
        <v>6.4255999999999993</v>
      </c>
      <c r="M30" s="116">
        <f t="shared" si="21"/>
        <v>15035904</v>
      </c>
      <c r="N30" s="117">
        <v>0.5</v>
      </c>
      <c r="O30" s="397">
        <f t="shared" si="22"/>
        <v>2.5099999999999998</v>
      </c>
      <c r="P30" s="116">
        <f t="shared" si="23"/>
        <v>5873400</v>
      </c>
      <c r="Q30" s="118"/>
      <c r="R30" s="116">
        <f t="shared" si="24"/>
        <v>1170000</v>
      </c>
      <c r="S30" s="119"/>
      <c r="T30" s="116">
        <f t="shared" si="25"/>
        <v>0</v>
      </c>
      <c r="U30" s="119"/>
      <c r="V30" s="120">
        <f t="shared" si="26"/>
        <v>0</v>
      </c>
      <c r="W30" s="120"/>
      <c r="X30" s="116">
        <f t="shared" si="27"/>
        <v>2556104</v>
      </c>
      <c r="Y30" s="116">
        <f t="shared" si="28"/>
        <v>1202872</v>
      </c>
      <c r="Z30" s="116">
        <f t="shared" si="29"/>
        <v>75180</v>
      </c>
      <c r="AA30" s="116">
        <f t="shared" si="30"/>
        <v>451077</v>
      </c>
      <c r="AB30" s="116">
        <f t="shared" si="31"/>
        <v>225539</v>
      </c>
      <c r="AC30" s="116">
        <f t="shared" si="32"/>
        <v>150359</v>
      </c>
      <c r="AD30" s="116">
        <f t="shared" si="33"/>
        <v>150359</v>
      </c>
      <c r="AE30" s="116">
        <f t="shared" si="34"/>
        <v>300718</v>
      </c>
      <c r="AF30" s="109"/>
      <c r="AG30" s="116"/>
      <c r="AH30" s="116">
        <f t="shared" si="17"/>
        <v>20500534</v>
      </c>
      <c r="AI30" s="109"/>
      <c r="AJ30" s="116">
        <f>AH30-'T8-24'!AH30</f>
        <v>105134</v>
      </c>
      <c r="AK30" s="334" t="s">
        <v>67</v>
      </c>
      <c r="AL30" s="121"/>
      <c r="AM30" s="159"/>
      <c r="AN30" s="156"/>
      <c r="AO30" s="157"/>
      <c r="AP30" s="157"/>
      <c r="AQ30" s="158"/>
      <c r="AR30" s="158"/>
      <c r="AS30" s="158"/>
      <c r="AT30" s="158"/>
      <c r="AU30" s="102"/>
      <c r="AV30" s="102"/>
      <c r="AW30" s="106"/>
      <c r="AX30" s="708"/>
      <c r="AY30" s="99"/>
      <c r="AZ30" s="106"/>
      <c r="BA30" s="106"/>
      <c r="BB30" s="106"/>
      <c r="BC30" s="106"/>
      <c r="BD30" s="106"/>
      <c r="BE30" s="106"/>
    </row>
    <row r="31" spans="1:58" ht="20.25" customHeight="1" thickTop="1" thickBot="1" x14ac:dyDescent="0.35">
      <c r="A31" s="108" t="s">
        <v>145</v>
      </c>
      <c r="B31" s="109" t="s">
        <v>4</v>
      </c>
      <c r="C31" s="118" t="s">
        <v>5</v>
      </c>
      <c r="D31" s="111" t="s">
        <v>298</v>
      </c>
      <c r="E31" s="257" t="s">
        <v>318</v>
      </c>
      <c r="F31" s="124">
        <v>3.06</v>
      </c>
      <c r="G31" s="124">
        <v>0.2</v>
      </c>
      <c r="H31" s="152"/>
      <c r="I31" s="152"/>
      <c r="J31" s="118"/>
      <c r="K31" s="115">
        <f t="shared" si="42"/>
        <v>0</v>
      </c>
      <c r="L31" s="115">
        <f t="shared" si="20"/>
        <v>3.2600000000000002</v>
      </c>
      <c r="M31" s="116">
        <f t="shared" si="21"/>
        <v>7628400</v>
      </c>
      <c r="N31" s="317">
        <v>0</v>
      </c>
      <c r="O31" s="397">
        <f t="shared" si="22"/>
        <v>0</v>
      </c>
      <c r="P31" s="116">
        <f t="shared" si="23"/>
        <v>0</v>
      </c>
      <c r="Q31" s="118"/>
      <c r="R31" s="116">
        <f t="shared" si="24"/>
        <v>1170000</v>
      </c>
      <c r="S31" s="119">
        <v>0.1</v>
      </c>
      <c r="T31" s="116">
        <f t="shared" si="25"/>
        <v>234000</v>
      </c>
      <c r="U31" s="119">
        <v>0.2</v>
      </c>
      <c r="V31" s="120">
        <f t="shared" si="26"/>
        <v>468000</v>
      </c>
      <c r="W31" s="120"/>
      <c r="X31" s="116">
        <f t="shared" si="27"/>
        <v>1296828</v>
      </c>
      <c r="Y31" s="116">
        <f t="shared" si="28"/>
        <v>610272</v>
      </c>
      <c r="Z31" s="116">
        <f t="shared" si="29"/>
        <v>38142</v>
      </c>
      <c r="AA31" s="116">
        <f t="shared" si="30"/>
        <v>228852</v>
      </c>
      <c r="AB31" s="116">
        <f t="shared" si="31"/>
        <v>114426</v>
      </c>
      <c r="AC31" s="116">
        <f t="shared" si="32"/>
        <v>76284</v>
      </c>
      <c r="AD31" s="116">
        <f t="shared" si="33"/>
        <v>76284</v>
      </c>
      <c r="AE31" s="116">
        <f t="shared" si="34"/>
        <v>152568</v>
      </c>
      <c r="AF31" s="109"/>
      <c r="AG31" s="116"/>
      <c r="AH31" s="116">
        <f t="shared" si="17"/>
        <v>8699418</v>
      </c>
      <c r="AI31" s="109"/>
      <c r="AJ31" s="116">
        <f>AH31-'T8-24'!AH31</f>
        <v>0</v>
      </c>
      <c r="AK31" s="334"/>
      <c r="AL31" s="121"/>
      <c r="AM31" s="159"/>
      <c r="AN31" s="156"/>
      <c r="AO31" s="157"/>
      <c r="AP31" s="158"/>
      <c r="AQ31" s="158"/>
      <c r="AR31" s="158"/>
      <c r="AS31" s="158"/>
      <c r="AT31" s="158"/>
      <c r="AU31" s="102"/>
      <c r="AV31" s="102"/>
      <c r="AW31" s="106"/>
      <c r="AX31" s="708"/>
      <c r="AY31" s="105"/>
      <c r="AZ31" s="106"/>
      <c r="BA31" s="106"/>
      <c r="BB31" s="106"/>
      <c r="BC31" s="106"/>
      <c r="BD31" s="106"/>
      <c r="BE31" s="106"/>
    </row>
    <row r="32" spans="1:58" ht="20.25" customHeight="1" thickTop="1" x14ac:dyDescent="0.3">
      <c r="A32" s="108" t="s">
        <v>146</v>
      </c>
      <c r="B32" s="109" t="s">
        <v>7</v>
      </c>
      <c r="C32" s="110" t="s">
        <v>347</v>
      </c>
      <c r="D32" s="112" t="s">
        <v>201</v>
      </c>
      <c r="E32" s="257" t="s">
        <v>335</v>
      </c>
      <c r="F32" s="113">
        <v>4</v>
      </c>
      <c r="G32" s="359"/>
      <c r="H32" s="109"/>
      <c r="I32" s="137"/>
      <c r="J32" s="130">
        <v>22</v>
      </c>
      <c r="K32" s="115">
        <f t="shared" si="42"/>
        <v>0.88</v>
      </c>
      <c r="L32" s="115">
        <f t="shared" si="20"/>
        <v>4.88</v>
      </c>
      <c r="M32" s="116">
        <f t="shared" si="21"/>
        <v>11419200</v>
      </c>
      <c r="N32" s="117">
        <v>0.5</v>
      </c>
      <c r="O32" s="397">
        <f t="shared" si="22"/>
        <v>2</v>
      </c>
      <c r="P32" s="116">
        <f t="shared" si="23"/>
        <v>4680000</v>
      </c>
      <c r="Q32" s="118"/>
      <c r="R32" s="116">
        <f t="shared" si="24"/>
        <v>1170000</v>
      </c>
      <c r="S32" s="119"/>
      <c r="T32" s="116">
        <f t="shared" si="25"/>
        <v>0</v>
      </c>
      <c r="U32" s="119"/>
      <c r="V32" s="120">
        <f t="shared" si="26"/>
        <v>0</v>
      </c>
      <c r="W32" s="120">
        <v>0</v>
      </c>
      <c r="X32" s="116">
        <f t="shared" si="27"/>
        <v>1941264</v>
      </c>
      <c r="Y32" s="116">
        <f t="shared" si="28"/>
        <v>913536</v>
      </c>
      <c r="Z32" s="116">
        <f t="shared" si="29"/>
        <v>57096</v>
      </c>
      <c r="AA32" s="116">
        <f t="shared" si="30"/>
        <v>342576</v>
      </c>
      <c r="AB32" s="116">
        <f t="shared" si="31"/>
        <v>171288</v>
      </c>
      <c r="AC32" s="116">
        <f t="shared" si="32"/>
        <v>114192</v>
      </c>
      <c r="AD32" s="116">
        <f t="shared" si="33"/>
        <v>114192</v>
      </c>
      <c r="AE32" s="116">
        <f t="shared" si="34"/>
        <v>228384</v>
      </c>
      <c r="AF32" s="109"/>
      <c r="AG32" s="116"/>
      <c r="AH32" s="116">
        <f t="shared" si="17"/>
        <v>16070184</v>
      </c>
      <c r="AI32" s="109"/>
      <c r="AJ32" s="116">
        <f>AH32-'T8-24'!AH32</f>
        <v>0</v>
      </c>
      <c r="AK32" s="334" t="s">
        <v>7</v>
      </c>
      <c r="AL32" s="121"/>
      <c r="AM32" s="160"/>
      <c r="AN32" s="161"/>
      <c r="AO32" s="102"/>
      <c r="AP32" s="162"/>
      <c r="AQ32" s="162"/>
      <c r="AR32" s="162"/>
      <c r="AS32" s="162"/>
      <c r="AT32" s="162"/>
      <c r="AU32" s="102"/>
      <c r="AV32" s="102"/>
      <c r="AW32" s="106"/>
      <c r="AX32" s="708"/>
      <c r="AY32" s="105"/>
      <c r="AZ32" s="106"/>
      <c r="BA32" s="106"/>
      <c r="BB32" s="106"/>
      <c r="BC32" s="106"/>
      <c r="BD32" s="106"/>
      <c r="BE32" s="106"/>
    </row>
    <row r="33" spans="1:57" ht="20.25" customHeight="1" x14ac:dyDescent="0.3">
      <c r="A33" s="108" t="s">
        <v>147</v>
      </c>
      <c r="B33" s="109" t="s">
        <v>8</v>
      </c>
      <c r="C33" s="110" t="s">
        <v>347</v>
      </c>
      <c r="D33" s="112" t="s">
        <v>202</v>
      </c>
      <c r="E33" s="331" t="s">
        <v>336</v>
      </c>
      <c r="F33" s="113">
        <v>5.0199999999999996</v>
      </c>
      <c r="G33" s="359"/>
      <c r="H33" s="109"/>
      <c r="I33" s="137"/>
      <c r="J33" s="126">
        <v>30</v>
      </c>
      <c r="K33" s="115">
        <f t="shared" si="42"/>
        <v>1.506</v>
      </c>
      <c r="L33" s="115">
        <f t="shared" si="20"/>
        <v>6.5259999999999998</v>
      </c>
      <c r="M33" s="116">
        <f t="shared" si="21"/>
        <v>15270840</v>
      </c>
      <c r="N33" s="117">
        <v>0.5</v>
      </c>
      <c r="O33" s="397">
        <f t="shared" si="22"/>
        <v>2.5099999999999998</v>
      </c>
      <c r="P33" s="116">
        <f t="shared" si="23"/>
        <v>5873400</v>
      </c>
      <c r="Q33" s="118"/>
      <c r="R33" s="116">
        <f t="shared" si="24"/>
        <v>1170000</v>
      </c>
      <c r="S33" s="119"/>
      <c r="T33" s="116">
        <f t="shared" si="25"/>
        <v>0</v>
      </c>
      <c r="U33" s="119"/>
      <c r="V33" s="120">
        <f t="shared" si="26"/>
        <v>0</v>
      </c>
      <c r="W33" s="120"/>
      <c r="X33" s="116">
        <f t="shared" si="27"/>
        <v>2596043</v>
      </c>
      <c r="Y33" s="116">
        <f t="shared" si="28"/>
        <v>1221667</v>
      </c>
      <c r="Z33" s="116">
        <f t="shared" si="29"/>
        <v>76354</v>
      </c>
      <c r="AA33" s="116">
        <f t="shared" si="30"/>
        <v>458125</v>
      </c>
      <c r="AB33" s="116">
        <f t="shared" si="31"/>
        <v>229063</v>
      </c>
      <c r="AC33" s="116">
        <f t="shared" si="32"/>
        <v>152708</v>
      </c>
      <c r="AD33" s="116">
        <f t="shared" si="33"/>
        <v>152708</v>
      </c>
      <c r="AE33" s="116">
        <f t="shared" si="34"/>
        <v>305417</v>
      </c>
      <c r="AF33" s="109"/>
      <c r="AG33" s="116"/>
      <c r="AH33" s="116">
        <f t="shared" si="17"/>
        <v>20710802</v>
      </c>
      <c r="AI33" s="109"/>
      <c r="AJ33" s="116">
        <f>AH33-'T8-24'!AH33</f>
        <v>105135</v>
      </c>
      <c r="AK33" s="336" t="s">
        <v>8</v>
      </c>
      <c r="AL33" s="121"/>
      <c r="AM33" s="160"/>
      <c r="AN33" s="138"/>
      <c r="AO33" s="102"/>
      <c r="AP33" s="102"/>
      <c r="AQ33" s="102"/>
      <c r="AR33" s="102"/>
      <c r="AS33" s="102"/>
      <c r="AT33" s="102"/>
      <c r="AU33" s="138"/>
      <c r="AV33" s="138"/>
      <c r="AW33" s="78"/>
      <c r="AX33" s="78"/>
      <c r="AY33" s="78"/>
      <c r="AZ33" s="78"/>
      <c r="BA33" s="78"/>
      <c r="BB33" s="78"/>
      <c r="BC33" s="78"/>
      <c r="BD33" s="78"/>
      <c r="BE33" s="78"/>
    </row>
    <row r="34" spans="1:57" ht="20.25" customHeight="1" x14ac:dyDescent="0.3">
      <c r="A34" s="108" t="s">
        <v>148</v>
      </c>
      <c r="B34" s="109" t="s">
        <v>9</v>
      </c>
      <c r="C34" s="110" t="s">
        <v>347</v>
      </c>
      <c r="D34" s="112" t="s">
        <v>199</v>
      </c>
      <c r="E34" s="329" t="s">
        <v>337</v>
      </c>
      <c r="F34" s="113">
        <v>5.0199999999999996</v>
      </c>
      <c r="G34" s="359"/>
      <c r="H34" s="109"/>
      <c r="I34" s="137"/>
      <c r="J34" s="126">
        <v>27</v>
      </c>
      <c r="K34" s="115">
        <f t="shared" si="42"/>
        <v>1.3553999999999999</v>
      </c>
      <c r="L34" s="115">
        <f t="shared" si="20"/>
        <v>6.3753999999999991</v>
      </c>
      <c r="M34" s="116">
        <f t="shared" si="21"/>
        <v>14918436</v>
      </c>
      <c r="N34" s="117">
        <v>0.5</v>
      </c>
      <c r="O34" s="397">
        <f t="shared" si="22"/>
        <v>2.5099999999999998</v>
      </c>
      <c r="P34" s="116">
        <f t="shared" si="23"/>
        <v>5873400</v>
      </c>
      <c r="Q34" s="118"/>
      <c r="R34" s="116">
        <f t="shared" si="24"/>
        <v>1170000</v>
      </c>
      <c r="S34" s="119"/>
      <c r="T34" s="116">
        <f t="shared" si="25"/>
        <v>0</v>
      </c>
      <c r="U34" s="119"/>
      <c r="V34" s="120">
        <f t="shared" si="26"/>
        <v>0</v>
      </c>
      <c r="W34" s="120"/>
      <c r="X34" s="116">
        <f t="shared" si="27"/>
        <v>2536134</v>
      </c>
      <c r="Y34" s="116">
        <f t="shared" si="28"/>
        <v>1193475</v>
      </c>
      <c r="Z34" s="116">
        <f t="shared" si="29"/>
        <v>74592</v>
      </c>
      <c r="AA34" s="116">
        <f t="shared" si="30"/>
        <v>447553</v>
      </c>
      <c r="AB34" s="116">
        <f t="shared" si="31"/>
        <v>223777</v>
      </c>
      <c r="AC34" s="116">
        <f t="shared" si="32"/>
        <v>149184</v>
      </c>
      <c r="AD34" s="116">
        <f t="shared" si="33"/>
        <v>149184</v>
      </c>
      <c r="AE34" s="116">
        <f t="shared" si="34"/>
        <v>298369</v>
      </c>
      <c r="AF34" s="109"/>
      <c r="AG34" s="116"/>
      <c r="AH34" s="116">
        <f t="shared" si="17"/>
        <v>20395400</v>
      </c>
      <c r="AI34" s="109"/>
      <c r="AJ34" s="116">
        <f>AH34-'T8-24'!AH34</f>
        <v>105134</v>
      </c>
      <c r="AK34" s="334" t="s">
        <v>116</v>
      </c>
      <c r="AL34" s="121"/>
      <c r="AM34" s="160"/>
      <c r="AN34" s="163"/>
      <c r="AO34" s="147"/>
      <c r="AP34" s="147"/>
      <c r="AQ34" s="102"/>
      <c r="AR34" s="102"/>
      <c r="AS34" s="102"/>
      <c r="AT34" s="147"/>
      <c r="AU34" s="164"/>
      <c r="AV34" s="164"/>
      <c r="AW34" s="78"/>
      <c r="AX34" s="78"/>
      <c r="AY34" s="78"/>
      <c r="AZ34" s="78"/>
      <c r="BA34" s="78"/>
      <c r="BB34" s="78"/>
      <c r="BC34" s="78"/>
      <c r="BD34" s="78"/>
      <c r="BE34" s="78"/>
    </row>
    <row r="35" spans="1:57" ht="20.25" customHeight="1" x14ac:dyDescent="0.3">
      <c r="A35" s="108" t="s">
        <v>149</v>
      </c>
      <c r="B35" s="109" t="s">
        <v>11</v>
      </c>
      <c r="C35" s="110" t="s">
        <v>346</v>
      </c>
      <c r="D35" s="123" t="s">
        <v>206</v>
      </c>
      <c r="E35" s="325" t="s">
        <v>278</v>
      </c>
      <c r="F35" s="360">
        <v>3</v>
      </c>
      <c r="G35" s="360"/>
      <c r="H35" s="361"/>
      <c r="I35" s="361"/>
      <c r="J35" s="362">
        <v>8</v>
      </c>
      <c r="K35" s="115">
        <f t="shared" ref="K35:K36" si="44">ROUND((F35+G35+I35)*J35/100,4)</f>
        <v>0.24</v>
      </c>
      <c r="L35" s="115">
        <f t="shared" si="20"/>
        <v>3.24</v>
      </c>
      <c r="M35" s="116">
        <f t="shared" si="21"/>
        <v>7581600</v>
      </c>
      <c r="N35" s="117">
        <v>0.5</v>
      </c>
      <c r="O35" s="397">
        <f t="shared" si="22"/>
        <v>1.5</v>
      </c>
      <c r="P35" s="116">
        <f t="shared" si="23"/>
        <v>3510000</v>
      </c>
      <c r="Q35" s="118"/>
      <c r="R35" s="116">
        <f t="shared" si="24"/>
        <v>1170000</v>
      </c>
      <c r="S35" s="119"/>
      <c r="T35" s="116">
        <f t="shared" si="25"/>
        <v>0</v>
      </c>
      <c r="U35" s="119"/>
      <c r="V35" s="120">
        <f t="shared" si="26"/>
        <v>0</v>
      </c>
      <c r="W35" s="120"/>
      <c r="X35" s="116">
        <f t="shared" si="27"/>
        <v>1288872</v>
      </c>
      <c r="Y35" s="116">
        <f t="shared" si="28"/>
        <v>606528</v>
      </c>
      <c r="Z35" s="116">
        <f t="shared" si="29"/>
        <v>37908</v>
      </c>
      <c r="AA35" s="116">
        <f t="shared" si="30"/>
        <v>227448</v>
      </c>
      <c r="AB35" s="116">
        <f t="shared" si="31"/>
        <v>113724</v>
      </c>
      <c r="AC35" s="116">
        <f t="shared" si="32"/>
        <v>75816</v>
      </c>
      <c r="AD35" s="116">
        <f t="shared" si="33"/>
        <v>75816</v>
      </c>
      <c r="AE35" s="116">
        <f t="shared" si="34"/>
        <v>151632</v>
      </c>
      <c r="AF35" s="109"/>
      <c r="AG35" s="116"/>
      <c r="AH35" s="116">
        <f t="shared" si="17"/>
        <v>11465532</v>
      </c>
      <c r="AI35" s="109"/>
      <c r="AJ35" s="116">
        <f>AH35-'T8-24'!AH35</f>
        <v>0</v>
      </c>
      <c r="AK35" s="334" t="s">
        <v>11</v>
      </c>
      <c r="AL35" s="121"/>
      <c r="AM35" s="160"/>
      <c r="AN35" s="163"/>
      <c r="AO35" s="150"/>
      <c r="AP35" s="150"/>
      <c r="AQ35" s="150"/>
      <c r="AR35" s="150"/>
      <c r="AS35" s="150"/>
      <c r="AT35" s="102"/>
      <c r="AU35" s="164"/>
      <c r="AV35" s="164"/>
      <c r="AW35" s="78"/>
      <c r="AX35" s="78"/>
      <c r="AY35" s="78"/>
      <c r="AZ35" s="78"/>
      <c r="BA35" s="78"/>
      <c r="BB35" s="78"/>
      <c r="BC35" s="78"/>
      <c r="BD35" s="78"/>
      <c r="BE35" s="78"/>
    </row>
    <row r="36" spans="1:57" ht="20.25" customHeight="1" x14ac:dyDescent="0.3">
      <c r="A36" s="108" t="s">
        <v>150</v>
      </c>
      <c r="B36" s="109" t="s">
        <v>27</v>
      </c>
      <c r="C36" s="110" t="s">
        <v>346</v>
      </c>
      <c r="D36" s="112" t="s">
        <v>205</v>
      </c>
      <c r="E36" s="257" t="s">
        <v>338</v>
      </c>
      <c r="F36" s="124">
        <v>3.33</v>
      </c>
      <c r="G36" s="363"/>
      <c r="H36" s="356"/>
      <c r="I36" s="137"/>
      <c r="J36" s="130">
        <v>12</v>
      </c>
      <c r="K36" s="115">
        <f t="shared" si="44"/>
        <v>0.39960000000000001</v>
      </c>
      <c r="L36" s="115">
        <f t="shared" si="20"/>
        <v>3.7296</v>
      </c>
      <c r="M36" s="116">
        <f t="shared" si="21"/>
        <v>8727264</v>
      </c>
      <c r="N36" s="117">
        <v>0.5</v>
      </c>
      <c r="O36" s="397">
        <f t="shared" si="22"/>
        <v>1.665</v>
      </c>
      <c r="P36" s="116">
        <f t="shared" si="23"/>
        <v>3896100</v>
      </c>
      <c r="Q36" s="118"/>
      <c r="R36" s="116">
        <f t="shared" si="24"/>
        <v>1170000</v>
      </c>
      <c r="S36" s="119"/>
      <c r="T36" s="116">
        <f t="shared" si="25"/>
        <v>0</v>
      </c>
      <c r="U36" s="119"/>
      <c r="V36" s="120">
        <f t="shared" si="26"/>
        <v>0</v>
      </c>
      <c r="W36" s="120"/>
      <c r="X36" s="116">
        <f t="shared" si="27"/>
        <v>1483635</v>
      </c>
      <c r="Y36" s="116">
        <f t="shared" si="28"/>
        <v>698181</v>
      </c>
      <c r="Z36" s="116">
        <f t="shared" si="29"/>
        <v>43636</v>
      </c>
      <c r="AA36" s="116">
        <f t="shared" si="30"/>
        <v>261818</v>
      </c>
      <c r="AB36" s="116">
        <f t="shared" si="31"/>
        <v>130909</v>
      </c>
      <c r="AC36" s="116">
        <f t="shared" si="32"/>
        <v>87273</v>
      </c>
      <c r="AD36" s="116">
        <f t="shared" si="33"/>
        <v>87273</v>
      </c>
      <c r="AE36" s="116">
        <f t="shared" si="34"/>
        <v>174545</v>
      </c>
      <c r="AF36" s="109"/>
      <c r="AG36" s="116"/>
      <c r="AH36" s="116">
        <f t="shared" si="17"/>
        <v>12877001</v>
      </c>
      <c r="AI36" s="109"/>
      <c r="AJ36" s="116">
        <f>AH36-'T8-24'!AH36</f>
        <v>0</v>
      </c>
      <c r="AK36" s="336" t="s">
        <v>27</v>
      </c>
      <c r="AL36" s="121"/>
      <c r="AM36" s="160"/>
      <c r="AN36" s="163"/>
      <c r="AO36" s="147"/>
      <c r="AP36" s="102"/>
      <c r="AQ36" s="102"/>
      <c r="AR36" s="102"/>
      <c r="AS36" s="102"/>
      <c r="AT36" s="102"/>
      <c r="AU36" s="164"/>
      <c r="AV36" s="164"/>
      <c r="AW36" s="78"/>
      <c r="AX36" s="78"/>
      <c r="AY36" s="78"/>
      <c r="AZ36" s="78"/>
      <c r="BA36" s="78"/>
      <c r="BB36" s="78"/>
      <c r="BC36" s="78"/>
      <c r="BD36" s="78"/>
      <c r="BE36" s="78"/>
    </row>
    <row r="37" spans="1:57" ht="20.25" customHeight="1" x14ac:dyDescent="0.3">
      <c r="A37" s="108" t="s">
        <v>151</v>
      </c>
      <c r="B37" s="109" t="s">
        <v>77</v>
      </c>
      <c r="C37" s="110" t="s">
        <v>347</v>
      </c>
      <c r="D37" s="112" t="s">
        <v>218</v>
      </c>
      <c r="E37" s="257" t="s">
        <v>339</v>
      </c>
      <c r="F37" s="124">
        <v>5.0199999999999996</v>
      </c>
      <c r="G37" s="363"/>
      <c r="H37" s="356"/>
      <c r="I37" s="137"/>
      <c r="J37" s="130">
        <v>30</v>
      </c>
      <c r="K37" s="115">
        <f t="shared" si="42"/>
        <v>1.506</v>
      </c>
      <c r="L37" s="115">
        <f t="shared" si="20"/>
        <v>6.5259999999999998</v>
      </c>
      <c r="M37" s="116">
        <f t="shared" si="21"/>
        <v>15270840</v>
      </c>
      <c r="N37" s="117">
        <v>0.5</v>
      </c>
      <c r="O37" s="397">
        <f t="shared" si="22"/>
        <v>2.5099999999999998</v>
      </c>
      <c r="P37" s="116">
        <f t="shared" si="23"/>
        <v>5873400</v>
      </c>
      <c r="Q37" s="118"/>
      <c r="R37" s="116">
        <f t="shared" si="24"/>
        <v>1170000</v>
      </c>
      <c r="S37" s="119"/>
      <c r="T37" s="116">
        <f t="shared" si="25"/>
        <v>0</v>
      </c>
      <c r="U37" s="119"/>
      <c r="V37" s="120">
        <f t="shared" si="26"/>
        <v>0</v>
      </c>
      <c r="W37" s="120"/>
      <c r="X37" s="116">
        <f t="shared" si="27"/>
        <v>2596043</v>
      </c>
      <c r="Y37" s="116">
        <f t="shared" si="28"/>
        <v>1221667</v>
      </c>
      <c r="Z37" s="116">
        <f t="shared" si="29"/>
        <v>76354</v>
      </c>
      <c r="AA37" s="116">
        <f t="shared" si="30"/>
        <v>458125</v>
      </c>
      <c r="AB37" s="116">
        <f t="shared" si="31"/>
        <v>229063</v>
      </c>
      <c r="AC37" s="116">
        <f t="shared" si="32"/>
        <v>152708</v>
      </c>
      <c r="AD37" s="116">
        <f t="shared" si="33"/>
        <v>152708</v>
      </c>
      <c r="AE37" s="116">
        <f t="shared" si="34"/>
        <v>305417</v>
      </c>
      <c r="AF37" s="109"/>
      <c r="AG37" s="116"/>
      <c r="AH37" s="116">
        <f t="shared" si="17"/>
        <v>20710802</v>
      </c>
      <c r="AI37" s="109"/>
      <c r="AJ37" s="116">
        <f>AH37-'T8-24'!AH37</f>
        <v>105135</v>
      </c>
      <c r="AK37" s="334" t="s">
        <v>77</v>
      </c>
      <c r="AL37" s="121"/>
      <c r="AM37" s="165"/>
      <c r="AN37" s="163"/>
      <c r="AO37" s="147"/>
      <c r="AP37" s="102"/>
      <c r="AQ37" s="102"/>
      <c r="AR37" s="102"/>
      <c r="AS37" s="102"/>
      <c r="AT37" s="147"/>
      <c r="AU37" s="164"/>
      <c r="AV37" s="164"/>
      <c r="AW37" s="78"/>
      <c r="AX37" s="78"/>
      <c r="AY37" s="78"/>
      <c r="AZ37" s="78"/>
      <c r="BA37" s="78"/>
      <c r="BB37" s="78"/>
      <c r="BC37" s="78"/>
      <c r="BD37" s="78"/>
      <c r="BE37" s="78"/>
    </row>
    <row r="38" spans="1:57" ht="20.25" customHeight="1" x14ac:dyDescent="0.3">
      <c r="A38" s="108" t="s">
        <v>152</v>
      </c>
      <c r="B38" s="109" t="s">
        <v>71</v>
      </c>
      <c r="C38" s="110" t="s">
        <v>347</v>
      </c>
      <c r="D38" s="111" t="s">
        <v>210</v>
      </c>
      <c r="E38" s="257" t="s">
        <v>340</v>
      </c>
      <c r="F38" s="124">
        <v>4.68</v>
      </c>
      <c r="G38" s="363"/>
      <c r="H38" s="356"/>
      <c r="I38" s="137"/>
      <c r="J38" s="130">
        <v>25</v>
      </c>
      <c r="K38" s="115">
        <f t="shared" si="42"/>
        <v>1.17</v>
      </c>
      <c r="L38" s="115">
        <f t="shared" si="20"/>
        <v>5.85</v>
      </c>
      <c r="M38" s="116">
        <f t="shared" si="21"/>
        <v>13689000</v>
      </c>
      <c r="N38" s="117">
        <v>0.5</v>
      </c>
      <c r="O38" s="397">
        <f t="shared" si="22"/>
        <v>2.34</v>
      </c>
      <c r="P38" s="116">
        <f t="shared" si="23"/>
        <v>5475600</v>
      </c>
      <c r="Q38" s="118"/>
      <c r="R38" s="116">
        <f t="shared" si="24"/>
        <v>1170000</v>
      </c>
      <c r="S38" s="119"/>
      <c r="T38" s="116">
        <f t="shared" si="25"/>
        <v>0</v>
      </c>
      <c r="U38" s="119"/>
      <c r="V38" s="120">
        <f t="shared" si="26"/>
        <v>0</v>
      </c>
      <c r="W38" s="120"/>
      <c r="X38" s="116">
        <f t="shared" si="27"/>
        <v>2327130</v>
      </c>
      <c r="Y38" s="116">
        <f t="shared" si="28"/>
        <v>1095120</v>
      </c>
      <c r="Z38" s="116">
        <f t="shared" si="29"/>
        <v>68445</v>
      </c>
      <c r="AA38" s="116">
        <f t="shared" si="30"/>
        <v>410670</v>
      </c>
      <c r="AB38" s="116">
        <f t="shared" si="31"/>
        <v>205335</v>
      </c>
      <c r="AC38" s="116">
        <f t="shared" si="32"/>
        <v>136890</v>
      </c>
      <c r="AD38" s="116">
        <f t="shared" si="33"/>
        <v>136890</v>
      </c>
      <c r="AE38" s="116">
        <f t="shared" si="34"/>
        <v>273780</v>
      </c>
      <c r="AF38" s="109"/>
      <c r="AG38" s="116"/>
      <c r="AH38" s="116">
        <f t="shared" si="17"/>
        <v>18897255</v>
      </c>
      <c r="AI38" s="109"/>
      <c r="AJ38" s="116">
        <f>AH38-'T8-24'!AH38</f>
        <v>0</v>
      </c>
      <c r="AK38" s="334" t="s">
        <v>71</v>
      </c>
      <c r="AL38" s="121"/>
      <c r="AM38" s="165"/>
      <c r="AN38" s="163"/>
      <c r="AO38" s="162"/>
      <c r="AP38" s="162"/>
      <c r="AQ38" s="162"/>
      <c r="AR38" s="162"/>
      <c r="AS38" s="162"/>
      <c r="AT38" s="102"/>
      <c r="AU38" s="164"/>
      <c r="AV38" s="164"/>
      <c r="AW38" s="78"/>
      <c r="AX38" s="78"/>
      <c r="AY38" s="78"/>
      <c r="AZ38" s="78"/>
      <c r="BA38" s="78"/>
      <c r="BB38" s="78"/>
      <c r="BC38" s="78"/>
      <c r="BD38" s="78"/>
      <c r="BE38" s="78"/>
    </row>
    <row r="39" spans="1:57" ht="20.25" customHeight="1" x14ac:dyDescent="0.3">
      <c r="A39" s="108" t="s">
        <v>153</v>
      </c>
      <c r="B39" s="109" t="s">
        <v>72</v>
      </c>
      <c r="C39" s="110" t="s">
        <v>347</v>
      </c>
      <c r="D39" s="112" t="s">
        <v>196</v>
      </c>
      <c r="E39" s="257" t="s">
        <v>328</v>
      </c>
      <c r="F39" s="124">
        <v>4.34</v>
      </c>
      <c r="G39" s="364">
        <v>0.15</v>
      </c>
      <c r="H39" s="356"/>
      <c r="I39" s="137"/>
      <c r="J39" s="130">
        <v>24</v>
      </c>
      <c r="K39" s="115">
        <f t="shared" si="42"/>
        <v>1.0775999999999999</v>
      </c>
      <c r="L39" s="115">
        <f t="shared" si="20"/>
        <v>5.5676000000000005</v>
      </c>
      <c r="M39" s="116">
        <f t="shared" si="21"/>
        <v>13028184</v>
      </c>
      <c r="N39" s="117">
        <v>0.5</v>
      </c>
      <c r="O39" s="397">
        <f t="shared" si="22"/>
        <v>2.2450000000000001</v>
      </c>
      <c r="P39" s="116">
        <f t="shared" si="23"/>
        <v>5253300</v>
      </c>
      <c r="Q39" s="118"/>
      <c r="R39" s="116">
        <f t="shared" si="24"/>
        <v>1170000</v>
      </c>
      <c r="S39" s="119"/>
      <c r="T39" s="116">
        <f t="shared" si="25"/>
        <v>0</v>
      </c>
      <c r="U39" s="119"/>
      <c r="V39" s="120">
        <f t="shared" si="26"/>
        <v>0</v>
      </c>
      <c r="W39" s="120"/>
      <c r="X39" s="116">
        <f t="shared" si="27"/>
        <v>2214791</v>
      </c>
      <c r="Y39" s="116">
        <f t="shared" si="28"/>
        <v>1042255</v>
      </c>
      <c r="Z39" s="116">
        <f t="shared" si="29"/>
        <v>65141</v>
      </c>
      <c r="AA39" s="116">
        <f t="shared" si="30"/>
        <v>390846</v>
      </c>
      <c r="AB39" s="116">
        <f t="shared" si="31"/>
        <v>195423</v>
      </c>
      <c r="AC39" s="116">
        <f t="shared" si="32"/>
        <v>130282</v>
      </c>
      <c r="AD39" s="116">
        <f t="shared" si="33"/>
        <v>130282</v>
      </c>
      <c r="AE39" s="116">
        <f t="shared" si="34"/>
        <v>260564</v>
      </c>
      <c r="AF39" s="109"/>
      <c r="AG39" s="116"/>
      <c r="AH39" s="116">
        <f t="shared" si="17"/>
        <v>18083524</v>
      </c>
      <c r="AI39" s="109"/>
      <c r="AJ39" s="116">
        <f>AH39-'T8-24'!AH39</f>
        <v>0</v>
      </c>
      <c r="AK39" s="334" t="s">
        <v>358</v>
      </c>
      <c r="AL39" s="121"/>
      <c r="AM39" s="165"/>
      <c r="AN39" s="163"/>
      <c r="AO39" s="162"/>
      <c r="AP39" s="162"/>
      <c r="AQ39" s="162"/>
      <c r="AR39" s="162"/>
      <c r="AS39" s="162"/>
      <c r="AT39" s="102"/>
      <c r="AU39" s="164"/>
      <c r="AV39" s="164"/>
      <c r="AW39" s="78"/>
      <c r="AY39" s="78"/>
      <c r="AZ39" s="78"/>
    </row>
    <row r="40" spans="1:57" ht="20.25" customHeight="1" x14ac:dyDescent="0.3">
      <c r="A40" s="108" t="s">
        <v>154</v>
      </c>
      <c r="B40" s="109" t="s">
        <v>12</v>
      </c>
      <c r="C40" s="118" t="s">
        <v>13</v>
      </c>
      <c r="D40" s="112" t="s">
        <v>206</v>
      </c>
      <c r="E40" s="257" t="s">
        <v>278</v>
      </c>
      <c r="F40" s="124">
        <v>2.72</v>
      </c>
      <c r="G40" s="124"/>
      <c r="H40" s="152"/>
      <c r="I40" s="152"/>
      <c r="J40" s="118"/>
      <c r="K40" s="115">
        <f t="shared" si="42"/>
        <v>0</v>
      </c>
      <c r="L40" s="115">
        <f t="shared" si="20"/>
        <v>2.72</v>
      </c>
      <c r="M40" s="116">
        <f t="shared" si="21"/>
        <v>6364800</v>
      </c>
      <c r="N40" s="317">
        <v>0</v>
      </c>
      <c r="O40" s="397">
        <f t="shared" si="22"/>
        <v>0</v>
      </c>
      <c r="P40" s="116">
        <f t="shared" si="23"/>
        <v>0</v>
      </c>
      <c r="Q40" s="118"/>
      <c r="R40" s="116">
        <f t="shared" si="24"/>
        <v>1170000</v>
      </c>
      <c r="S40" s="119"/>
      <c r="T40" s="116">
        <f t="shared" si="25"/>
        <v>0</v>
      </c>
      <c r="U40" s="119">
        <v>0.2</v>
      </c>
      <c r="V40" s="120">
        <f t="shared" si="26"/>
        <v>468000</v>
      </c>
      <c r="W40" s="120"/>
      <c r="X40" s="116">
        <f t="shared" si="27"/>
        <v>1082016</v>
      </c>
      <c r="Y40" s="116">
        <f t="shared" si="28"/>
        <v>509184</v>
      </c>
      <c r="Z40" s="116">
        <f t="shared" si="29"/>
        <v>31824</v>
      </c>
      <c r="AA40" s="116">
        <f t="shared" si="30"/>
        <v>190944</v>
      </c>
      <c r="AB40" s="116">
        <f t="shared" si="31"/>
        <v>95472</v>
      </c>
      <c r="AC40" s="116">
        <f t="shared" si="32"/>
        <v>63648</v>
      </c>
      <c r="AD40" s="116">
        <f t="shared" si="33"/>
        <v>63648</v>
      </c>
      <c r="AE40" s="116">
        <f t="shared" si="34"/>
        <v>127296</v>
      </c>
      <c r="AF40" s="109"/>
      <c r="AG40" s="116"/>
      <c r="AH40" s="116">
        <f t="shared" si="17"/>
        <v>7334496</v>
      </c>
      <c r="AI40" s="109"/>
      <c r="AJ40" s="116">
        <f>AH40-'T8-24'!AH40</f>
        <v>0</v>
      </c>
      <c r="AK40" s="336"/>
      <c r="AL40" s="121"/>
      <c r="AM40" s="165"/>
      <c r="AN40" s="163"/>
      <c r="AO40" s="162"/>
      <c r="AP40" s="162"/>
      <c r="AQ40" s="162"/>
      <c r="AR40" s="162"/>
      <c r="AS40" s="162"/>
      <c r="AT40" s="102"/>
      <c r="AU40" s="164"/>
      <c r="AV40" s="164"/>
      <c r="BB40" s="122"/>
      <c r="BC40" s="122"/>
    </row>
    <row r="41" spans="1:57" ht="20.25" customHeight="1" x14ac:dyDescent="0.3">
      <c r="A41" s="108" t="s">
        <v>155</v>
      </c>
      <c r="B41" s="166" t="s">
        <v>96</v>
      </c>
      <c r="C41" s="110" t="s">
        <v>347</v>
      </c>
      <c r="D41" s="123" t="s">
        <v>207</v>
      </c>
      <c r="E41" s="325" t="s">
        <v>341</v>
      </c>
      <c r="F41" s="167">
        <v>4.68</v>
      </c>
      <c r="G41" s="167">
        <v>0.2</v>
      </c>
      <c r="H41" s="365"/>
      <c r="I41" s="366"/>
      <c r="J41" s="367" t="s">
        <v>145</v>
      </c>
      <c r="K41" s="115">
        <f t="shared" si="42"/>
        <v>1.1224000000000001</v>
      </c>
      <c r="L41" s="115">
        <f t="shared" ref="L41:L56" si="45">F41+G41+I41+K41</f>
        <v>6.0023999999999997</v>
      </c>
      <c r="M41" s="116">
        <f t="shared" si="21"/>
        <v>14045616</v>
      </c>
      <c r="N41" s="117">
        <v>0.5</v>
      </c>
      <c r="O41" s="397">
        <f t="shared" ref="O41:O56" si="46">(F41+G41+I41)*N41</f>
        <v>2.44</v>
      </c>
      <c r="P41" s="116">
        <f t="shared" si="23"/>
        <v>5709600</v>
      </c>
      <c r="Q41" s="118"/>
      <c r="R41" s="116">
        <f t="shared" si="24"/>
        <v>1170000</v>
      </c>
      <c r="S41" s="168"/>
      <c r="T41" s="116">
        <f t="shared" si="25"/>
        <v>0</v>
      </c>
      <c r="U41" s="168"/>
      <c r="V41" s="120">
        <f t="shared" si="26"/>
        <v>0</v>
      </c>
      <c r="W41" s="120"/>
      <c r="X41" s="116">
        <f t="shared" si="27"/>
        <v>2387755</v>
      </c>
      <c r="Y41" s="116">
        <f t="shared" si="28"/>
        <v>1123649</v>
      </c>
      <c r="Z41" s="116">
        <f t="shared" si="29"/>
        <v>70228</v>
      </c>
      <c r="AA41" s="116">
        <f t="shared" si="30"/>
        <v>421368</v>
      </c>
      <c r="AB41" s="116">
        <f t="shared" si="31"/>
        <v>210684</v>
      </c>
      <c r="AC41" s="116">
        <f t="shared" si="32"/>
        <v>140456</v>
      </c>
      <c r="AD41" s="116">
        <f t="shared" si="33"/>
        <v>140456</v>
      </c>
      <c r="AE41" s="116">
        <f t="shared" si="34"/>
        <v>280912</v>
      </c>
      <c r="AF41" s="109"/>
      <c r="AG41" s="116"/>
      <c r="AH41" s="116">
        <f t="shared" si="17"/>
        <v>19450427</v>
      </c>
      <c r="AI41" s="152"/>
      <c r="AJ41" s="116">
        <f>AH41-'T8-24'!AH41</f>
        <v>0</v>
      </c>
      <c r="AK41" s="334" t="s">
        <v>96</v>
      </c>
      <c r="AL41" s="121"/>
      <c r="AM41" s="160"/>
      <c r="AN41" s="138"/>
      <c r="AO41" s="102"/>
      <c r="AP41" s="102"/>
      <c r="AQ41" s="102"/>
      <c r="AR41" s="102"/>
      <c r="AS41" s="102"/>
      <c r="AT41" s="102"/>
      <c r="AU41" s="164"/>
      <c r="AV41" s="164"/>
      <c r="BB41" s="122"/>
      <c r="BC41" s="122"/>
    </row>
    <row r="42" spans="1:57" ht="20.25" customHeight="1" x14ac:dyDescent="0.3">
      <c r="A42" s="108" t="s">
        <v>156</v>
      </c>
      <c r="B42" s="169" t="s">
        <v>98</v>
      </c>
      <c r="C42" s="110" t="s">
        <v>347</v>
      </c>
      <c r="D42" s="123" t="s">
        <v>207</v>
      </c>
      <c r="E42" s="325" t="s">
        <v>342</v>
      </c>
      <c r="F42" s="167">
        <v>5.0199999999999996</v>
      </c>
      <c r="G42" s="167">
        <v>0.2</v>
      </c>
      <c r="H42" s="170"/>
      <c r="I42" s="171"/>
      <c r="J42" s="367" t="s">
        <v>146</v>
      </c>
      <c r="K42" s="115">
        <f t="shared" si="42"/>
        <v>1.2527999999999999</v>
      </c>
      <c r="L42" s="115">
        <f t="shared" si="45"/>
        <v>6.4727999999999994</v>
      </c>
      <c r="M42" s="116">
        <f t="shared" si="21"/>
        <v>15146352</v>
      </c>
      <c r="N42" s="117">
        <v>0.5</v>
      </c>
      <c r="O42" s="397">
        <f t="shared" si="46"/>
        <v>2.61</v>
      </c>
      <c r="P42" s="116">
        <f t="shared" si="23"/>
        <v>6107400</v>
      </c>
      <c r="Q42" s="118"/>
      <c r="R42" s="116">
        <f t="shared" si="24"/>
        <v>1170000</v>
      </c>
      <c r="S42" s="168"/>
      <c r="T42" s="116">
        <f t="shared" si="25"/>
        <v>0</v>
      </c>
      <c r="U42" s="168"/>
      <c r="V42" s="120">
        <f t="shared" si="26"/>
        <v>0</v>
      </c>
      <c r="W42" s="120"/>
      <c r="X42" s="116">
        <f t="shared" si="27"/>
        <v>2574880</v>
      </c>
      <c r="Y42" s="116">
        <f t="shared" si="28"/>
        <v>1211708</v>
      </c>
      <c r="Z42" s="116">
        <f t="shared" si="29"/>
        <v>75732</v>
      </c>
      <c r="AA42" s="116">
        <f t="shared" si="30"/>
        <v>454391</v>
      </c>
      <c r="AB42" s="116">
        <f t="shared" si="31"/>
        <v>227195</v>
      </c>
      <c r="AC42" s="116">
        <f t="shared" si="32"/>
        <v>151464</v>
      </c>
      <c r="AD42" s="116">
        <f t="shared" si="33"/>
        <v>151464</v>
      </c>
      <c r="AE42" s="116">
        <f t="shared" si="34"/>
        <v>302927</v>
      </c>
      <c r="AF42" s="109"/>
      <c r="AG42" s="116"/>
      <c r="AH42" s="116">
        <f t="shared" si="17"/>
        <v>20833385</v>
      </c>
      <c r="AI42" s="152"/>
      <c r="AJ42" s="116">
        <f>AH42-'T8-24'!AH42</f>
        <v>0</v>
      </c>
      <c r="AK42" s="334" t="s">
        <v>98</v>
      </c>
      <c r="AL42" s="121"/>
      <c r="AM42" s="160"/>
      <c r="AN42" s="138"/>
      <c r="AO42" s="102"/>
      <c r="AP42" s="102"/>
      <c r="AQ42" s="102"/>
      <c r="AR42" s="102"/>
      <c r="AS42" s="102"/>
      <c r="AT42" s="102"/>
      <c r="AU42" s="172"/>
      <c r="AV42" s="172"/>
      <c r="BB42" s="122"/>
      <c r="BC42" s="122"/>
    </row>
    <row r="43" spans="1:57" ht="20.25" customHeight="1" x14ac:dyDescent="0.3">
      <c r="A43" s="108" t="s">
        <v>157</v>
      </c>
      <c r="B43" s="169" t="s">
        <v>100</v>
      </c>
      <c r="C43" s="110" t="s">
        <v>347</v>
      </c>
      <c r="D43" s="123" t="s">
        <v>196</v>
      </c>
      <c r="E43" s="325" t="s">
        <v>335</v>
      </c>
      <c r="F43" s="167">
        <v>4.34</v>
      </c>
      <c r="G43" s="167"/>
      <c r="H43" s="170"/>
      <c r="I43" s="171"/>
      <c r="J43" s="367" t="s">
        <v>146</v>
      </c>
      <c r="K43" s="115">
        <f t="shared" si="42"/>
        <v>1.0416000000000001</v>
      </c>
      <c r="L43" s="115">
        <f t="shared" si="45"/>
        <v>5.3815999999999997</v>
      </c>
      <c r="M43" s="116">
        <f t="shared" si="21"/>
        <v>12592944</v>
      </c>
      <c r="N43" s="117">
        <v>0.5</v>
      </c>
      <c r="O43" s="397">
        <f t="shared" si="46"/>
        <v>2.17</v>
      </c>
      <c r="P43" s="116">
        <f t="shared" si="23"/>
        <v>5077800</v>
      </c>
      <c r="Q43" s="118"/>
      <c r="R43" s="116">
        <f t="shared" si="24"/>
        <v>1170000</v>
      </c>
      <c r="S43" s="168"/>
      <c r="T43" s="116">
        <f t="shared" si="25"/>
        <v>0</v>
      </c>
      <c r="U43" s="168"/>
      <c r="V43" s="120">
        <f t="shared" si="26"/>
        <v>0</v>
      </c>
      <c r="W43" s="120"/>
      <c r="X43" s="116">
        <f t="shared" si="27"/>
        <v>2140800</v>
      </c>
      <c r="Y43" s="116">
        <f t="shared" si="28"/>
        <v>1007436</v>
      </c>
      <c r="Z43" s="116">
        <f t="shared" si="29"/>
        <v>62965</v>
      </c>
      <c r="AA43" s="116">
        <f t="shared" si="30"/>
        <v>377788</v>
      </c>
      <c r="AB43" s="116">
        <f t="shared" si="31"/>
        <v>188894</v>
      </c>
      <c r="AC43" s="116">
        <f t="shared" si="32"/>
        <v>125929</v>
      </c>
      <c r="AD43" s="116">
        <f t="shared" si="33"/>
        <v>125929</v>
      </c>
      <c r="AE43" s="116">
        <f t="shared" si="34"/>
        <v>251859</v>
      </c>
      <c r="AF43" s="109"/>
      <c r="AG43" s="116"/>
      <c r="AH43" s="116">
        <f t="shared" si="17"/>
        <v>17518485</v>
      </c>
      <c r="AI43" s="152"/>
      <c r="AJ43" s="116">
        <f>AH43-'T8-24'!AH43</f>
        <v>0</v>
      </c>
      <c r="AK43" s="334" t="s">
        <v>100</v>
      </c>
      <c r="AL43" s="121"/>
      <c r="AM43" s="160"/>
      <c r="AN43" s="161"/>
      <c r="AO43" s="147"/>
      <c r="AP43" s="102"/>
      <c r="AQ43" s="102"/>
      <c r="AR43" s="102"/>
      <c r="AS43" s="102"/>
      <c r="AT43" s="147"/>
      <c r="AU43" s="102"/>
      <c r="AV43" s="102"/>
      <c r="BB43" s="122"/>
      <c r="BC43" s="122"/>
    </row>
    <row r="44" spans="1:57" ht="20.25" customHeight="1" x14ac:dyDescent="0.3">
      <c r="A44" s="108" t="s">
        <v>158</v>
      </c>
      <c r="B44" s="169" t="s">
        <v>216</v>
      </c>
      <c r="C44" s="110" t="s">
        <v>346</v>
      </c>
      <c r="D44" s="123" t="s">
        <v>209</v>
      </c>
      <c r="E44" s="325" t="s">
        <v>348</v>
      </c>
      <c r="F44" s="167">
        <v>3.66</v>
      </c>
      <c r="G44" s="167">
        <v>0.15</v>
      </c>
      <c r="H44" s="170"/>
      <c r="I44" s="171"/>
      <c r="J44" s="367" t="s">
        <v>142</v>
      </c>
      <c r="K44" s="115">
        <f t="shared" si="42"/>
        <v>0.53339999999999999</v>
      </c>
      <c r="L44" s="115">
        <f t="shared" si="45"/>
        <v>4.3433999999999999</v>
      </c>
      <c r="M44" s="116">
        <f t="shared" si="21"/>
        <v>10163556</v>
      </c>
      <c r="N44" s="117">
        <v>0.5</v>
      </c>
      <c r="O44" s="397">
        <f t="shared" si="46"/>
        <v>1.905</v>
      </c>
      <c r="P44" s="116">
        <f t="shared" si="23"/>
        <v>4457700</v>
      </c>
      <c r="Q44" s="118"/>
      <c r="R44" s="116">
        <f t="shared" si="24"/>
        <v>1170000</v>
      </c>
      <c r="S44" s="168"/>
      <c r="T44" s="116">
        <f t="shared" si="25"/>
        <v>0</v>
      </c>
      <c r="U44" s="168"/>
      <c r="V44" s="120">
        <f t="shared" si="26"/>
        <v>0</v>
      </c>
      <c r="W44" s="120"/>
      <c r="X44" s="116">
        <f t="shared" si="27"/>
        <v>1727805</v>
      </c>
      <c r="Y44" s="116">
        <f t="shared" si="28"/>
        <v>813084</v>
      </c>
      <c r="Z44" s="116">
        <f t="shared" si="29"/>
        <v>50818</v>
      </c>
      <c r="AA44" s="116">
        <f t="shared" si="30"/>
        <v>304907</v>
      </c>
      <c r="AB44" s="116">
        <f t="shared" si="31"/>
        <v>152453</v>
      </c>
      <c r="AC44" s="116">
        <f t="shared" si="32"/>
        <v>101636</v>
      </c>
      <c r="AD44" s="116">
        <f t="shared" si="33"/>
        <v>101636</v>
      </c>
      <c r="AE44" s="116">
        <f t="shared" si="34"/>
        <v>203271</v>
      </c>
      <c r="AF44" s="109"/>
      <c r="AG44" s="116"/>
      <c r="AH44" s="116">
        <f t="shared" si="17"/>
        <v>14724083</v>
      </c>
      <c r="AI44" s="152"/>
      <c r="AJ44" s="116">
        <f>AH44-'T8-24'!AH44</f>
        <v>0</v>
      </c>
      <c r="AK44" s="334" t="s">
        <v>353</v>
      </c>
      <c r="AL44" s="121"/>
      <c r="AM44" s="160"/>
      <c r="AN44" s="173"/>
      <c r="AO44" s="173"/>
      <c r="AP44" s="173"/>
      <c r="AQ44" s="173"/>
      <c r="AR44" s="173"/>
      <c r="AS44" s="173"/>
      <c r="AT44" s="173"/>
      <c r="AU44" s="173"/>
      <c r="AV44" s="173"/>
      <c r="BB44" s="122"/>
      <c r="BC44" s="122"/>
    </row>
    <row r="45" spans="1:57" ht="20.25" customHeight="1" x14ac:dyDescent="0.3">
      <c r="A45" s="108" t="s">
        <v>159</v>
      </c>
      <c r="B45" s="169" t="s">
        <v>102</v>
      </c>
      <c r="C45" s="110" t="s">
        <v>347</v>
      </c>
      <c r="D45" s="123" t="s">
        <v>218</v>
      </c>
      <c r="E45" s="325" t="s">
        <v>325</v>
      </c>
      <c r="F45" s="167">
        <v>5.0199999999999996</v>
      </c>
      <c r="G45" s="167"/>
      <c r="H45" s="170"/>
      <c r="I45" s="368"/>
      <c r="J45" s="367" t="s">
        <v>144</v>
      </c>
      <c r="K45" s="115">
        <f t="shared" si="42"/>
        <v>1.1044</v>
      </c>
      <c r="L45" s="115">
        <f t="shared" si="45"/>
        <v>6.1243999999999996</v>
      </c>
      <c r="M45" s="116">
        <f t="shared" si="21"/>
        <v>14331096</v>
      </c>
      <c r="N45" s="117">
        <v>0.5</v>
      </c>
      <c r="O45" s="397">
        <f t="shared" si="46"/>
        <v>2.5099999999999998</v>
      </c>
      <c r="P45" s="116">
        <f t="shared" si="23"/>
        <v>5873400</v>
      </c>
      <c r="Q45" s="118"/>
      <c r="R45" s="116">
        <f t="shared" si="24"/>
        <v>1170000</v>
      </c>
      <c r="S45" s="168"/>
      <c r="T45" s="116">
        <f t="shared" si="25"/>
        <v>0</v>
      </c>
      <c r="U45" s="168"/>
      <c r="V45" s="120">
        <f t="shared" si="26"/>
        <v>0</v>
      </c>
      <c r="W45" s="120"/>
      <c r="X45" s="116">
        <f t="shared" si="27"/>
        <v>2436286</v>
      </c>
      <c r="Y45" s="116">
        <f t="shared" si="28"/>
        <v>1146488</v>
      </c>
      <c r="Z45" s="116">
        <f t="shared" si="29"/>
        <v>71655</v>
      </c>
      <c r="AA45" s="116">
        <f t="shared" si="30"/>
        <v>429933</v>
      </c>
      <c r="AB45" s="116">
        <f t="shared" si="31"/>
        <v>214966</v>
      </c>
      <c r="AC45" s="116">
        <f t="shared" si="32"/>
        <v>143311</v>
      </c>
      <c r="AD45" s="116">
        <f t="shared" si="33"/>
        <v>143311</v>
      </c>
      <c r="AE45" s="116">
        <f t="shared" si="34"/>
        <v>286622</v>
      </c>
      <c r="AF45" s="109"/>
      <c r="AG45" s="116"/>
      <c r="AH45" s="116">
        <f t="shared" si="17"/>
        <v>19869731</v>
      </c>
      <c r="AI45" s="152"/>
      <c r="AJ45" s="116">
        <f>AH45-'T8-24'!AH45</f>
        <v>105133</v>
      </c>
      <c r="AK45" s="334" t="s">
        <v>102</v>
      </c>
      <c r="AL45" s="121"/>
      <c r="AM45" s="160"/>
      <c r="AN45" s="161"/>
      <c r="AO45" s="102"/>
      <c r="AP45" s="162"/>
      <c r="AQ45" s="162"/>
      <c r="AR45" s="162"/>
      <c r="AS45" s="162"/>
      <c r="AT45" s="162"/>
      <c r="AU45" s="102"/>
      <c r="AV45" s="102"/>
      <c r="BB45" s="122"/>
      <c r="BC45" s="122"/>
    </row>
    <row r="46" spans="1:57" ht="20.25" customHeight="1" x14ac:dyDescent="0.3">
      <c r="A46" s="108" t="s">
        <v>160</v>
      </c>
      <c r="B46" s="166" t="s">
        <v>104</v>
      </c>
      <c r="C46" s="110" t="s">
        <v>347</v>
      </c>
      <c r="D46" s="123" t="s">
        <v>212</v>
      </c>
      <c r="E46" s="325" t="s">
        <v>348</v>
      </c>
      <c r="F46" s="167">
        <v>4</v>
      </c>
      <c r="G46" s="167">
        <v>0.15</v>
      </c>
      <c r="H46" s="369"/>
      <c r="I46" s="369"/>
      <c r="J46" s="367" t="s">
        <v>101</v>
      </c>
      <c r="K46" s="115">
        <f t="shared" si="42"/>
        <v>0.66400000000000003</v>
      </c>
      <c r="L46" s="115">
        <f t="shared" si="45"/>
        <v>4.8140000000000001</v>
      </c>
      <c r="M46" s="116">
        <f t="shared" si="21"/>
        <v>11264760</v>
      </c>
      <c r="N46" s="117">
        <v>0.5</v>
      </c>
      <c r="O46" s="397">
        <f t="shared" si="46"/>
        <v>2.0750000000000002</v>
      </c>
      <c r="P46" s="116">
        <f t="shared" si="23"/>
        <v>4855500</v>
      </c>
      <c r="Q46" s="118"/>
      <c r="R46" s="116">
        <f t="shared" si="24"/>
        <v>1170000</v>
      </c>
      <c r="S46" s="168"/>
      <c r="T46" s="116">
        <f t="shared" si="25"/>
        <v>0</v>
      </c>
      <c r="U46" s="168"/>
      <c r="V46" s="120">
        <f t="shared" si="26"/>
        <v>0</v>
      </c>
      <c r="W46" s="120"/>
      <c r="X46" s="116">
        <f t="shared" si="27"/>
        <v>1915009</v>
      </c>
      <c r="Y46" s="116">
        <f t="shared" si="28"/>
        <v>901181</v>
      </c>
      <c r="Z46" s="116">
        <f t="shared" si="29"/>
        <v>56324</v>
      </c>
      <c r="AA46" s="116">
        <f t="shared" si="30"/>
        <v>337943</v>
      </c>
      <c r="AB46" s="116">
        <f t="shared" si="31"/>
        <v>168971</v>
      </c>
      <c r="AC46" s="116">
        <f t="shared" si="32"/>
        <v>112648</v>
      </c>
      <c r="AD46" s="116">
        <f t="shared" si="33"/>
        <v>112648</v>
      </c>
      <c r="AE46" s="116">
        <f t="shared" si="34"/>
        <v>225295</v>
      </c>
      <c r="AF46" s="109"/>
      <c r="AG46" s="116"/>
      <c r="AH46" s="116">
        <f t="shared" si="17"/>
        <v>16107460</v>
      </c>
      <c r="AI46" s="152"/>
      <c r="AJ46" s="116">
        <f>AH46-'T8-24'!AH46</f>
        <v>0</v>
      </c>
      <c r="AK46" s="334" t="s">
        <v>104</v>
      </c>
      <c r="AL46" s="121"/>
      <c r="AM46" s="160"/>
      <c r="AN46" s="138"/>
      <c r="AO46" s="102"/>
      <c r="AP46" s="102"/>
      <c r="AQ46" s="102"/>
      <c r="AR46" s="102"/>
      <c r="AS46" s="102"/>
      <c r="AT46" s="102"/>
      <c r="AU46" s="138"/>
      <c r="AV46" s="138"/>
      <c r="AX46" s="148">
        <v>1</v>
      </c>
      <c r="BB46" s="122"/>
      <c r="BC46" s="122"/>
    </row>
    <row r="47" spans="1:57" ht="20.25" customHeight="1" x14ac:dyDescent="0.3">
      <c r="A47" s="108" t="s">
        <v>161</v>
      </c>
      <c r="B47" s="169" t="s">
        <v>107</v>
      </c>
      <c r="C47" s="110" t="s">
        <v>346</v>
      </c>
      <c r="D47" s="112" t="s">
        <v>209</v>
      </c>
      <c r="E47" s="257" t="s">
        <v>335</v>
      </c>
      <c r="F47" s="167">
        <v>3.33</v>
      </c>
      <c r="G47" s="167">
        <v>0.15</v>
      </c>
      <c r="H47" s="170"/>
      <c r="I47" s="171"/>
      <c r="J47" s="367" t="s">
        <v>142</v>
      </c>
      <c r="K47" s="115">
        <f t="shared" si="42"/>
        <v>0.48720000000000002</v>
      </c>
      <c r="L47" s="115">
        <f t="shared" si="45"/>
        <v>3.9672000000000001</v>
      </c>
      <c r="M47" s="116">
        <f t="shared" si="21"/>
        <v>9283248</v>
      </c>
      <c r="N47" s="117">
        <v>0.5</v>
      </c>
      <c r="O47" s="397">
        <f t="shared" si="46"/>
        <v>1.74</v>
      </c>
      <c r="P47" s="116">
        <f t="shared" si="23"/>
        <v>4071600</v>
      </c>
      <c r="Q47" s="118"/>
      <c r="R47" s="116">
        <f t="shared" si="24"/>
        <v>1170000</v>
      </c>
      <c r="S47" s="168"/>
      <c r="T47" s="116">
        <f t="shared" si="25"/>
        <v>0</v>
      </c>
      <c r="U47" s="168"/>
      <c r="V47" s="120">
        <f t="shared" si="26"/>
        <v>0</v>
      </c>
      <c r="W47" s="120"/>
      <c r="X47" s="116">
        <f t="shared" si="27"/>
        <v>1578152</v>
      </c>
      <c r="Y47" s="116">
        <f t="shared" si="28"/>
        <v>742660</v>
      </c>
      <c r="Z47" s="116">
        <f t="shared" si="29"/>
        <v>46416</v>
      </c>
      <c r="AA47" s="116">
        <f t="shared" si="30"/>
        <v>278497</v>
      </c>
      <c r="AB47" s="116">
        <f t="shared" si="31"/>
        <v>139249</v>
      </c>
      <c r="AC47" s="116">
        <f t="shared" si="32"/>
        <v>92832</v>
      </c>
      <c r="AD47" s="116">
        <f t="shared" si="33"/>
        <v>92832</v>
      </c>
      <c r="AE47" s="116">
        <f t="shared" si="34"/>
        <v>185665</v>
      </c>
      <c r="AF47" s="109"/>
      <c r="AG47" s="116"/>
      <c r="AH47" s="116">
        <f t="shared" si="17"/>
        <v>13550107</v>
      </c>
      <c r="AI47" s="152"/>
      <c r="AJ47" s="116">
        <f>AH47-'T8-24'!AH47</f>
        <v>0</v>
      </c>
      <c r="AK47" s="334" t="s">
        <v>107</v>
      </c>
      <c r="AL47" s="121"/>
      <c r="AM47" s="160"/>
      <c r="AN47" s="163"/>
      <c r="AO47" s="147"/>
      <c r="AP47" s="147"/>
      <c r="AQ47" s="102"/>
      <c r="AR47" s="102"/>
      <c r="AS47" s="102"/>
      <c r="AT47" s="147"/>
      <c r="AU47" s="164"/>
      <c r="AV47" s="164"/>
      <c r="AX47" s="127" t="e">
        <f>#REF!*310000</f>
        <v>#REF!</v>
      </c>
      <c r="BB47" s="122"/>
      <c r="BC47" s="122"/>
    </row>
    <row r="48" spans="1:57" ht="20.25" customHeight="1" x14ac:dyDescent="0.3">
      <c r="A48" s="108" t="s">
        <v>162</v>
      </c>
      <c r="B48" s="166" t="s">
        <v>110</v>
      </c>
      <c r="C48" s="110" t="s">
        <v>346</v>
      </c>
      <c r="D48" s="123" t="s">
        <v>211</v>
      </c>
      <c r="E48" s="325" t="s">
        <v>292</v>
      </c>
      <c r="F48" s="167">
        <v>3.33</v>
      </c>
      <c r="G48" s="167"/>
      <c r="H48" s="365"/>
      <c r="I48" s="366"/>
      <c r="J48" s="367" t="s">
        <v>108</v>
      </c>
      <c r="K48" s="115">
        <f t="shared" si="42"/>
        <v>0.33300000000000002</v>
      </c>
      <c r="L48" s="115">
        <f t="shared" si="45"/>
        <v>3.6630000000000003</v>
      </c>
      <c r="M48" s="116">
        <f t="shared" si="21"/>
        <v>8571420</v>
      </c>
      <c r="N48" s="117">
        <v>0.5</v>
      </c>
      <c r="O48" s="397">
        <f t="shared" si="46"/>
        <v>1.665</v>
      </c>
      <c r="P48" s="116">
        <f t="shared" si="23"/>
        <v>3896100</v>
      </c>
      <c r="Q48" s="118"/>
      <c r="R48" s="116">
        <f t="shared" si="24"/>
        <v>1170000</v>
      </c>
      <c r="S48" s="168"/>
      <c r="T48" s="116">
        <f t="shared" si="25"/>
        <v>0</v>
      </c>
      <c r="U48" s="168"/>
      <c r="V48" s="120">
        <f t="shared" si="26"/>
        <v>0</v>
      </c>
      <c r="W48" s="120"/>
      <c r="X48" s="116">
        <f t="shared" si="27"/>
        <v>1457141</v>
      </c>
      <c r="Y48" s="116">
        <f t="shared" si="28"/>
        <v>685714</v>
      </c>
      <c r="Z48" s="116">
        <f t="shared" si="29"/>
        <v>42857</v>
      </c>
      <c r="AA48" s="116">
        <f t="shared" si="30"/>
        <v>257143</v>
      </c>
      <c r="AB48" s="116">
        <f t="shared" si="31"/>
        <v>128571</v>
      </c>
      <c r="AC48" s="116">
        <f t="shared" si="32"/>
        <v>85714</v>
      </c>
      <c r="AD48" s="116">
        <f t="shared" si="33"/>
        <v>85714</v>
      </c>
      <c r="AE48" s="116">
        <f t="shared" si="34"/>
        <v>171428</v>
      </c>
      <c r="AF48" s="109"/>
      <c r="AG48" s="116"/>
      <c r="AH48" s="116">
        <f t="shared" si="17"/>
        <v>12737521</v>
      </c>
      <c r="AI48" s="152"/>
      <c r="AJ48" s="116">
        <f>AH48-'T8-24'!AH48</f>
        <v>0</v>
      </c>
      <c r="AK48" s="334" t="s">
        <v>356</v>
      </c>
      <c r="AL48" s="121"/>
      <c r="AM48" s="160"/>
      <c r="AN48" s="163"/>
      <c r="AO48" s="147"/>
      <c r="AP48" s="102"/>
      <c r="AQ48" s="102"/>
      <c r="AR48" s="102"/>
      <c r="AS48" s="102"/>
      <c r="AT48" s="102"/>
      <c r="AU48" s="164"/>
      <c r="AV48" s="164"/>
      <c r="AX48" s="127" t="e">
        <f>#REF!*310000</f>
        <v>#REF!</v>
      </c>
      <c r="BB48" s="122"/>
      <c r="BC48" s="122"/>
    </row>
    <row r="49" spans="1:58" ht="20.25" customHeight="1" x14ac:dyDescent="0.3">
      <c r="A49" s="108" t="s">
        <v>163</v>
      </c>
      <c r="B49" s="166" t="s">
        <v>112</v>
      </c>
      <c r="C49" s="110" t="s">
        <v>346</v>
      </c>
      <c r="D49" s="123" t="s">
        <v>208</v>
      </c>
      <c r="E49" s="325" t="s">
        <v>349</v>
      </c>
      <c r="F49" s="332"/>
      <c r="G49" s="370"/>
      <c r="H49" s="370"/>
      <c r="I49" s="370" t="s">
        <v>374</v>
      </c>
      <c r="J49" s="371"/>
      <c r="K49" s="372"/>
      <c r="L49" s="372">
        <v>0</v>
      </c>
      <c r="M49" s="116">
        <f t="shared" si="21"/>
        <v>0</v>
      </c>
      <c r="N49" s="117">
        <v>0.5</v>
      </c>
      <c r="O49" s="397">
        <f>(2.67)*N49</f>
        <v>1.335</v>
      </c>
      <c r="P49" s="116">
        <f t="shared" si="23"/>
        <v>3123900</v>
      </c>
      <c r="Q49" s="118">
        <v>0</v>
      </c>
      <c r="R49" s="116">
        <v>0</v>
      </c>
      <c r="S49" s="168"/>
      <c r="T49" s="116">
        <f t="shared" si="25"/>
        <v>0</v>
      </c>
      <c r="U49" s="168"/>
      <c r="V49" s="120">
        <f t="shared" si="26"/>
        <v>0</v>
      </c>
      <c r="W49" s="120"/>
      <c r="X49" s="116">
        <f t="shared" si="27"/>
        <v>0</v>
      </c>
      <c r="Y49" s="116">
        <f t="shared" si="28"/>
        <v>0</v>
      </c>
      <c r="Z49" s="116">
        <f t="shared" si="29"/>
        <v>0</v>
      </c>
      <c r="AA49" s="116">
        <f t="shared" si="30"/>
        <v>0</v>
      </c>
      <c r="AB49" s="116">
        <f t="shared" si="31"/>
        <v>0</v>
      </c>
      <c r="AC49" s="116">
        <f t="shared" si="32"/>
        <v>0</v>
      </c>
      <c r="AD49" s="116">
        <f t="shared" si="33"/>
        <v>0</v>
      </c>
      <c r="AE49" s="116">
        <f t="shared" si="34"/>
        <v>0</v>
      </c>
      <c r="AF49" s="109"/>
      <c r="AG49" s="116"/>
      <c r="AH49" s="116">
        <f t="shared" si="17"/>
        <v>3123900</v>
      </c>
      <c r="AI49" s="152"/>
      <c r="AJ49" s="116">
        <f>AH49-'T8-24'!AH49</f>
        <v>0</v>
      </c>
      <c r="AK49" s="334" t="s">
        <v>112</v>
      </c>
      <c r="AL49" s="121"/>
      <c r="AM49" s="165"/>
      <c r="AN49" s="163"/>
      <c r="AO49" s="147"/>
      <c r="AP49" s="102"/>
      <c r="AQ49" s="102"/>
      <c r="AR49" s="102"/>
      <c r="AS49" s="102"/>
      <c r="AT49" s="147"/>
      <c r="AU49" s="164"/>
      <c r="AV49" s="164"/>
      <c r="AX49" s="333" t="e">
        <f>#REF!*310000</f>
        <v>#REF!</v>
      </c>
      <c r="BB49" s="122"/>
      <c r="BC49" s="122"/>
    </row>
    <row r="50" spans="1:58" ht="20.25" customHeight="1" x14ac:dyDescent="0.3">
      <c r="A50" s="108" t="s">
        <v>164</v>
      </c>
      <c r="B50" s="169" t="s">
        <v>173</v>
      </c>
      <c r="C50" s="318" t="s">
        <v>175</v>
      </c>
      <c r="D50" s="123" t="s">
        <v>200</v>
      </c>
      <c r="E50" s="325" t="s">
        <v>335</v>
      </c>
      <c r="F50" s="167">
        <v>3.66</v>
      </c>
      <c r="G50" s="124"/>
      <c r="H50" s="170"/>
      <c r="I50" s="171"/>
      <c r="J50" s="319"/>
      <c r="K50" s="115">
        <f t="shared" si="42"/>
        <v>0</v>
      </c>
      <c r="L50" s="115">
        <f t="shared" si="45"/>
        <v>3.66</v>
      </c>
      <c r="M50" s="116">
        <f t="shared" si="21"/>
        <v>8564400</v>
      </c>
      <c r="N50" s="117">
        <v>0</v>
      </c>
      <c r="O50" s="397">
        <f t="shared" si="46"/>
        <v>0</v>
      </c>
      <c r="P50" s="116">
        <f t="shared" si="23"/>
        <v>0</v>
      </c>
      <c r="Q50" s="118"/>
      <c r="R50" s="116">
        <f t="shared" si="24"/>
        <v>1170000</v>
      </c>
      <c r="S50" s="168">
        <v>0.1</v>
      </c>
      <c r="T50" s="116">
        <f t="shared" si="25"/>
        <v>234000</v>
      </c>
      <c r="U50" s="168"/>
      <c r="V50" s="120">
        <f t="shared" si="26"/>
        <v>0</v>
      </c>
      <c r="W50" s="120"/>
      <c r="X50" s="116">
        <f t="shared" si="27"/>
        <v>1455948</v>
      </c>
      <c r="Y50" s="116">
        <f t="shared" si="28"/>
        <v>685152</v>
      </c>
      <c r="Z50" s="116">
        <f t="shared" si="29"/>
        <v>42822</v>
      </c>
      <c r="AA50" s="116">
        <f t="shared" si="30"/>
        <v>256932</v>
      </c>
      <c r="AB50" s="116">
        <f t="shared" si="31"/>
        <v>128466</v>
      </c>
      <c r="AC50" s="116">
        <f t="shared" si="32"/>
        <v>85644</v>
      </c>
      <c r="AD50" s="116">
        <f t="shared" si="33"/>
        <v>85644</v>
      </c>
      <c r="AE50" s="116">
        <f t="shared" si="34"/>
        <v>171288</v>
      </c>
      <c r="AF50" s="109"/>
      <c r="AG50" s="116"/>
      <c r="AH50" s="116">
        <f t="shared" si="17"/>
        <v>9069138</v>
      </c>
      <c r="AI50" s="152"/>
      <c r="AJ50" s="116">
        <f>AH50-'T8-24'!AH50</f>
        <v>0</v>
      </c>
      <c r="AK50" s="334"/>
      <c r="AL50" s="121"/>
      <c r="AM50" s="165"/>
      <c r="AN50" s="163"/>
      <c r="AO50" s="162"/>
      <c r="AP50" s="162"/>
      <c r="AQ50" s="162"/>
      <c r="AR50" s="162"/>
      <c r="AS50" s="162"/>
      <c r="AT50" s="102"/>
      <c r="AU50" s="164"/>
      <c r="AV50" s="164"/>
      <c r="AX50" s="174"/>
      <c r="BB50" s="122"/>
    </row>
    <row r="51" spans="1:58" ht="20.25" customHeight="1" x14ac:dyDescent="0.3">
      <c r="A51" s="108" t="s">
        <v>165</v>
      </c>
      <c r="B51" s="169" t="s">
        <v>114</v>
      </c>
      <c r="C51" s="110" t="s">
        <v>115</v>
      </c>
      <c r="D51" s="123" t="s">
        <v>215</v>
      </c>
      <c r="E51" s="325" t="s">
        <v>295</v>
      </c>
      <c r="F51" s="167">
        <v>3.06</v>
      </c>
      <c r="G51" s="167">
        <v>0.15</v>
      </c>
      <c r="H51" s="170"/>
      <c r="I51" s="171"/>
      <c r="J51" s="319"/>
      <c r="K51" s="115">
        <f t="shared" si="42"/>
        <v>0</v>
      </c>
      <c r="L51" s="115">
        <f t="shared" si="45"/>
        <v>3.21</v>
      </c>
      <c r="M51" s="116">
        <f t="shared" si="21"/>
        <v>7511400</v>
      </c>
      <c r="N51" s="117">
        <v>0.2</v>
      </c>
      <c r="O51" s="397">
        <f t="shared" si="46"/>
        <v>0.64200000000000002</v>
      </c>
      <c r="P51" s="116">
        <f t="shared" si="23"/>
        <v>1502280</v>
      </c>
      <c r="Q51" s="118"/>
      <c r="R51" s="116">
        <f t="shared" si="24"/>
        <v>1170000</v>
      </c>
      <c r="S51" s="168"/>
      <c r="T51" s="116">
        <f t="shared" si="25"/>
        <v>0</v>
      </c>
      <c r="U51" s="168"/>
      <c r="V51" s="120">
        <f t="shared" si="26"/>
        <v>0</v>
      </c>
      <c r="W51" s="120"/>
      <c r="X51" s="116">
        <f t="shared" si="27"/>
        <v>1276938</v>
      </c>
      <c r="Y51" s="116">
        <f t="shared" si="28"/>
        <v>600912</v>
      </c>
      <c r="Z51" s="116">
        <f t="shared" si="29"/>
        <v>37557</v>
      </c>
      <c r="AA51" s="116">
        <f t="shared" si="30"/>
        <v>225342</v>
      </c>
      <c r="AB51" s="116">
        <f t="shared" si="31"/>
        <v>112671</v>
      </c>
      <c r="AC51" s="116">
        <f t="shared" si="32"/>
        <v>75114</v>
      </c>
      <c r="AD51" s="116">
        <f t="shared" si="33"/>
        <v>75114</v>
      </c>
      <c r="AE51" s="116">
        <f t="shared" si="34"/>
        <v>150228</v>
      </c>
      <c r="AF51" s="109"/>
      <c r="AG51" s="116"/>
      <c r="AH51" s="116">
        <f t="shared" si="17"/>
        <v>9394983</v>
      </c>
      <c r="AI51" s="152"/>
      <c r="AJ51" s="116">
        <f>AH51-'T8-24'!AH51</f>
        <v>0</v>
      </c>
      <c r="AK51" s="334"/>
      <c r="AL51" s="121"/>
      <c r="AM51" s="165"/>
      <c r="AN51" s="163"/>
      <c r="AO51" s="162"/>
      <c r="AP51" s="162"/>
      <c r="AQ51" s="162"/>
      <c r="AR51" s="162"/>
      <c r="AS51" s="162"/>
      <c r="AT51" s="102"/>
      <c r="AU51" s="164"/>
      <c r="AV51" s="164"/>
      <c r="BB51" s="122"/>
    </row>
    <row r="52" spans="1:58" ht="20.25" customHeight="1" x14ac:dyDescent="0.3">
      <c r="A52" s="108" t="s">
        <v>166</v>
      </c>
      <c r="B52" s="109" t="s">
        <v>302</v>
      </c>
      <c r="C52" s="110" t="s">
        <v>346</v>
      </c>
      <c r="D52" s="111" t="s">
        <v>229</v>
      </c>
      <c r="E52" s="257" t="s">
        <v>343</v>
      </c>
      <c r="F52" s="373">
        <v>3</v>
      </c>
      <c r="G52" s="374"/>
      <c r="H52" s="375"/>
      <c r="I52" s="376"/>
      <c r="J52" s="377" t="s">
        <v>111</v>
      </c>
      <c r="K52" s="378">
        <f t="shared" ref="K52" si="47">ROUND((F52+G52+I52)*J52/100,4)</f>
        <v>0.18</v>
      </c>
      <c r="L52" s="115">
        <f t="shared" si="45"/>
        <v>3.18</v>
      </c>
      <c r="M52" s="116">
        <f t="shared" si="21"/>
        <v>7441200</v>
      </c>
      <c r="N52" s="117">
        <v>0.5</v>
      </c>
      <c r="O52" s="397">
        <f t="shared" si="46"/>
        <v>1.5</v>
      </c>
      <c r="P52" s="116">
        <f t="shared" si="23"/>
        <v>3510000</v>
      </c>
      <c r="Q52" s="118"/>
      <c r="R52" s="116">
        <f t="shared" si="24"/>
        <v>1170000</v>
      </c>
      <c r="S52" s="168"/>
      <c r="T52" s="116">
        <f t="shared" si="25"/>
        <v>0</v>
      </c>
      <c r="U52" s="168"/>
      <c r="V52" s="120">
        <f t="shared" si="26"/>
        <v>0</v>
      </c>
      <c r="W52" s="120"/>
      <c r="X52" s="116">
        <f t="shared" si="27"/>
        <v>1265004</v>
      </c>
      <c r="Y52" s="116">
        <f t="shared" si="28"/>
        <v>595296</v>
      </c>
      <c r="Z52" s="116">
        <f t="shared" si="29"/>
        <v>37206</v>
      </c>
      <c r="AA52" s="116">
        <f t="shared" si="30"/>
        <v>223236</v>
      </c>
      <c r="AB52" s="116">
        <f t="shared" si="31"/>
        <v>111618</v>
      </c>
      <c r="AC52" s="116">
        <f t="shared" si="32"/>
        <v>74412</v>
      </c>
      <c r="AD52" s="116">
        <f t="shared" si="33"/>
        <v>74412</v>
      </c>
      <c r="AE52" s="116">
        <f t="shared" si="34"/>
        <v>148824</v>
      </c>
      <c r="AF52" s="109"/>
      <c r="AG52" s="116"/>
      <c r="AH52" s="116">
        <f t="shared" si="17"/>
        <v>11339874</v>
      </c>
      <c r="AI52" s="152"/>
      <c r="AJ52" s="116">
        <f>AH52-'T8-24'!AH52</f>
        <v>0</v>
      </c>
      <c r="AK52" s="334" t="s">
        <v>355</v>
      </c>
      <c r="AL52" s="121"/>
      <c r="AM52" s="165"/>
      <c r="AN52" s="163"/>
      <c r="AO52" s="162"/>
      <c r="AP52" s="162"/>
      <c r="AQ52" s="162"/>
      <c r="AR52" s="162"/>
      <c r="AS52" s="162"/>
      <c r="AT52" s="102"/>
      <c r="AU52" s="164"/>
      <c r="AV52" s="164"/>
      <c r="BB52" s="122"/>
    </row>
    <row r="53" spans="1:58" ht="20.25" customHeight="1" x14ac:dyDescent="0.3">
      <c r="A53" s="108" t="s">
        <v>167</v>
      </c>
      <c r="B53" s="109" t="s">
        <v>282</v>
      </c>
      <c r="C53" s="110" t="s">
        <v>346</v>
      </c>
      <c r="D53" s="379" t="s">
        <v>277</v>
      </c>
      <c r="E53" s="325" t="s">
        <v>348</v>
      </c>
      <c r="F53" s="135">
        <v>4.32</v>
      </c>
      <c r="G53" s="175"/>
      <c r="H53" s="380"/>
      <c r="I53" s="381"/>
      <c r="J53" s="382" t="s">
        <v>146</v>
      </c>
      <c r="K53" s="115">
        <f t="shared" ref="K53:K55" si="48">ROUND((F53+G53+I53)*J53/100,4)</f>
        <v>1.0367999999999999</v>
      </c>
      <c r="L53" s="115">
        <f t="shared" si="45"/>
        <v>5.3567999999999998</v>
      </c>
      <c r="M53" s="116">
        <f t="shared" si="21"/>
        <v>12534912</v>
      </c>
      <c r="N53" s="117">
        <v>0.5</v>
      </c>
      <c r="O53" s="397">
        <f t="shared" si="46"/>
        <v>2.16</v>
      </c>
      <c r="P53" s="116">
        <f t="shared" si="23"/>
        <v>5054400</v>
      </c>
      <c r="Q53" s="118"/>
      <c r="R53" s="116">
        <f t="shared" si="24"/>
        <v>1170000</v>
      </c>
      <c r="S53" s="168"/>
      <c r="T53" s="116">
        <f t="shared" si="25"/>
        <v>0</v>
      </c>
      <c r="U53" s="383"/>
      <c r="V53" s="120">
        <f t="shared" si="26"/>
        <v>0</v>
      </c>
      <c r="W53" s="176"/>
      <c r="X53" s="116">
        <f t="shared" si="27"/>
        <v>2130935</v>
      </c>
      <c r="Y53" s="116">
        <f t="shared" si="28"/>
        <v>1002793</v>
      </c>
      <c r="Z53" s="116">
        <f t="shared" si="29"/>
        <v>62675</v>
      </c>
      <c r="AA53" s="116">
        <f t="shared" si="30"/>
        <v>376047</v>
      </c>
      <c r="AB53" s="116">
        <f t="shared" si="31"/>
        <v>188024</v>
      </c>
      <c r="AC53" s="116">
        <f t="shared" si="32"/>
        <v>125349</v>
      </c>
      <c r="AD53" s="116">
        <f t="shared" si="33"/>
        <v>125349</v>
      </c>
      <c r="AE53" s="116">
        <f t="shared" si="34"/>
        <v>250698</v>
      </c>
      <c r="AF53" s="109"/>
      <c r="AG53" s="116"/>
      <c r="AH53" s="116">
        <f t="shared" si="17"/>
        <v>17443146</v>
      </c>
      <c r="AI53" s="384"/>
      <c r="AJ53" s="116">
        <f>AH53-'T8-24'!AH53</f>
        <v>0</v>
      </c>
      <c r="AK53" s="334" t="s">
        <v>282</v>
      </c>
      <c r="AL53" s="121"/>
      <c r="AM53" s="160"/>
      <c r="AN53" s="138"/>
      <c r="AO53" s="102"/>
      <c r="AP53" s="102"/>
      <c r="AQ53" s="102"/>
      <c r="AR53" s="102"/>
      <c r="AS53" s="102"/>
      <c r="AT53" s="102"/>
      <c r="AU53" s="164"/>
      <c r="AV53" s="164"/>
      <c r="AX53" s="385">
        <f>255708212</f>
        <v>255708212</v>
      </c>
      <c r="AY53" s="385">
        <v>53201039</v>
      </c>
      <c r="BB53" s="122"/>
    </row>
    <row r="54" spans="1:58" ht="20.25" customHeight="1" x14ac:dyDescent="0.3">
      <c r="A54" s="108" t="s">
        <v>168</v>
      </c>
      <c r="B54" s="109" t="s">
        <v>284</v>
      </c>
      <c r="C54" s="110" t="s">
        <v>347</v>
      </c>
      <c r="D54" s="379" t="s">
        <v>285</v>
      </c>
      <c r="E54" s="329" t="s">
        <v>343</v>
      </c>
      <c r="F54" s="135">
        <v>4.68</v>
      </c>
      <c r="G54" s="175"/>
      <c r="H54" s="380"/>
      <c r="I54" s="381"/>
      <c r="J54" s="382" t="s">
        <v>147</v>
      </c>
      <c r="K54" s="115">
        <f t="shared" si="48"/>
        <v>1.17</v>
      </c>
      <c r="L54" s="115">
        <f t="shared" si="45"/>
        <v>5.85</v>
      </c>
      <c r="M54" s="116">
        <f t="shared" si="21"/>
        <v>13689000</v>
      </c>
      <c r="N54" s="117">
        <v>0.5</v>
      </c>
      <c r="O54" s="397">
        <f t="shared" si="46"/>
        <v>2.34</v>
      </c>
      <c r="P54" s="116">
        <f t="shared" si="23"/>
        <v>5475600</v>
      </c>
      <c r="Q54" s="118"/>
      <c r="R54" s="116">
        <f t="shared" si="24"/>
        <v>1170000</v>
      </c>
      <c r="S54" s="168"/>
      <c r="T54" s="116">
        <f t="shared" si="25"/>
        <v>0</v>
      </c>
      <c r="U54" s="383"/>
      <c r="V54" s="120">
        <f t="shared" si="26"/>
        <v>0</v>
      </c>
      <c r="W54" s="176"/>
      <c r="X54" s="116">
        <f t="shared" si="27"/>
        <v>2327130</v>
      </c>
      <c r="Y54" s="116">
        <f t="shared" si="28"/>
        <v>1095120</v>
      </c>
      <c r="Z54" s="116">
        <f t="shared" si="29"/>
        <v>68445</v>
      </c>
      <c r="AA54" s="116">
        <f t="shared" si="30"/>
        <v>410670</v>
      </c>
      <c r="AB54" s="116">
        <f t="shared" si="31"/>
        <v>205335</v>
      </c>
      <c r="AC54" s="116">
        <f t="shared" si="32"/>
        <v>136890</v>
      </c>
      <c r="AD54" s="116">
        <f t="shared" si="33"/>
        <v>136890</v>
      </c>
      <c r="AE54" s="116">
        <f t="shared" si="34"/>
        <v>273780</v>
      </c>
      <c r="AF54" s="109"/>
      <c r="AG54" s="116"/>
      <c r="AH54" s="116">
        <f t="shared" si="17"/>
        <v>18897255</v>
      </c>
      <c r="AI54" s="384"/>
      <c r="AJ54" s="116">
        <f>AH54-'T8-24'!AH54</f>
        <v>98013</v>
      </c>
      <c r="AK54" s="334" t="s">
        <v>357</v>
      </c>
      <c r="AL54" s="121"/>
      <c r="AM54" s="160"/>
      <c r="AN54" s="138"/>
      <c r="AO54" s="102"/>
      <c r="AP54" s="102"/>
      <c r="AQ54" s="102"/>
      <c r="AR54" s="102"/>
      <c r="AS54" s="102"/>
      <c r="AT54" s="102"/>
      <c r="AU54" s="172"/>
      <c r="AV54" s="172"/>
      <c r="AX54" s="385">
        <v>5067489</v>
      </c>
      <c r="AY54" s="385">
        <v>310000</v>
      </c>
      <c r="BB54" s="122"/>
      <c r="BD54" s="122"/>
    </row>
    <row r="55" spans="1:58" ht="20.25" customHeight="1" x14ac:dyDescent="0.3">
      <c r="A55" s="108" t="s">
        <v>169</v>
      </c>
      <c r="B55" s="109" t="s">
        <v>283</v>
      </c>
      <c r="C55" s="110" t="s">
        <v>346</v>
      </c>
      <c r="D55" s="379" t="s">
        <v>289</v>
      </c>
      <c r="E55" s="257" t="s">
        <v>337</v>
      </c>
      <c r="F55" s="135">
        <v>3.99</v>
      </c>
      <c r="G55" s="175"/>
      <c r="H55" s="380"/>
      <c r="I55" s="381"/>
      <c r="J55" s="382" t="s">
        <v>97</v>
      </c>
      <c r="K55" s="115">
        <f t="shared" si="48"/>
        <v>0.7581</v>
      </c>
      <c r="L55" s="115">
        <f t="shared" si="45"/>
        <v>4.7481</v>
      </c>
      <c r="M55" s="116">
        <f t="shared" si="21"/>
        <v>11110554</v>
      </c>
      <c r="N55" s="117">
        <v>0.5</v>
      </c>
      <c r="O55" s="397">
        <f t="shared" si="46"/>
        <v>1.9950000000000001</v>
      </c>
      <c r="P55" s="116">
        <f t="shared" si="23"/>
        <v>4668300</v>
      </c>
      <c r="Q55" s="118"/>
      <c r="R55" s="116">
        <f t="shared" si="24"/>
        <v>1170000</v>
      </c>
      <c r="S55" s="168"/>
      <c r="T55" s="116">
        <f t="shared" si="25"/>
        <v>0</v>
      </c>
      <c r="U55" s="383"/>
      <c r="V55" s="120">
        <f t="shared" si="26"/>
        <v>0</v>
      </c>
      <c r="W55" s="176"/>
      <c r="X55" s="116">
        <f t="shared" si="27"/>
        <v>1888794</v>
      </c>
      <c r="Y55" s="116">
        <f t="shared" si="28"/>
        <v>888844</v>
      </c>
      <c r="Z55" s="116">
        <f t="shared" si="29"/>
        <v>55553</v>
      </c>
      <c r="AA55" s="116">
        <f t="shared" si="30"/>
        <v>333317</v>
      </c>
      <c r="AB55" s="116">
        <f t="shared" si="31"/>
        <v>166658</v>
      </c>
      <c r="AC55" s="116">
        <f t="shared" si="32"/>
        <v>111106</v>
      </c>
      <c r="AD55" s="116">
        <f t="shared" si="33"/>
        <v>111106</v>
      </c>
      <c r="AE55" s="116">
        <f t="shared" si="34"/>
        <v>222211</v>
      </c>
      <c r="AF55" s="109"/>
      <c r="AG55" s="116"/>
      <c r="AH55" s="116">
        <f t="shared" si="17"/>
        <v>15782246</v>
      </c>
      <c r="AI55" s="384"/>
      <c r="AJ55" s="116">
        <f>AH55-'T8-24'!AH55</f>
        <v>0</v>
      </c>
      <c r="AK55" s="334" t="s">
        <v>354</v>
      </c>
      <c r="AL55" s="121"/>
      <c r="AM55" s="160"/>
      <c r="AN55" s="173"/>
      <c r="AO55" s="173"/>
      <c r="AP55" s="173"/>
      <c r="AQ55" s="173"/>
      <c r="AR55" s="173"/>
      <c r="AS55" s="173"/>
      <c r="AT55" s="173"/>
      <c r="AU55" s="173"/>
      <c r="AV55" s="173"/>
      <c r="AX55" s="385">
        <v>37995000</v>
      </c>
      <c r="AY55" s="385">
        <v>1054310</v>
      </c>
    </row>
    <row r="56" spans="1:58" ht="20.25" customHeight="1" x14ac:dyDescent="0.3">
      <c r="A56" s="108" t="s">
        <v>170</v>
      </c>
      <c r="B56" s="177" t="s">
        <v>230</v>
      </c>
      <c r="C56" s="110" t="s">
        <v>346</v>
      </c>
      <c r="D56" s="111" t="s">
        <v>364</v>
      </c>
      <c r="E56" s="257" t="s">
        <v>344</v>
      </c>
      <c r="F56" s="113">
        <v>2.34</v>
      </c>
      <c r="G56" s="113"/>
      <c r="H56" s="114"/>
      <c r="I56" s="110"/>
      <c r="J56" s="130"/>
      <c r="K56" s="115">
        <f>ROUND((F56+G56+I56)*J56/100,4)</f>
        <v>0</v>
      </c>
      <c r="L56" s="115">
        <f t="shared" si="45"/>
        <v>2.34</v>
      </c>
      <c r="M56" s="116">
        <f t="shared" si="21"/>
        <v>5475600</v>
      </c>
      <c r="N56" s="117">
        <v>0.5</v>
      </c>
      <c r="O56" s="397">
        <f t="shared" si="46"/>
        <v>1.17</v>
      </c>
      <c r="P56" s="116">
        <f t="shared" si="23"/>
        <v>2737800</v>
      </c>
      <c r="Q56" s="118"/>
      <c r="R56" s="116">
        <f t="shared" si="24"/>
        <v>1170000</v>
      </c>
      <c r="S56" s="119"/>
      <c r="T56" s="116">
        <f t="shared" si="25"/>
        <v>0</v>
      </c>
      <c r="U56" s="119"/>
      <c r="V56" s="120">
        <f t="shared" si="26"/>
        <v>0</v>
      </c>
      <c r="W56" s="120"/>
      <c r="X56" s="116">
        <f t="shared" si="27"/>
        <v>930852</v>
      </c>
      <c r="Y56" s="116">
        <f t="shared" si="28"/>
        <v>438048</v>
      </c>
      <c r="Z56" s="116">
        <f t="shared" si="29"/>
        <v>27378</v>
      </c>
      <c r="AA56" s="116">
        <f t="shared" si="30"/>
        <v>164268</v>
      </c>
      <c r="AB56" s="116">
        <f t="shared" si="31"/>
        <v>82134</v>
      </c>
      <c r="AC56" s="116">
        <f t="shared" si="32"/>
        <v>54756</v>
      </c>
      <c r="AD56" s="116">
        <f t="shared" si="33"/>
        <v>54756</v>
      </c>
      <c r="AE56" s="116">
        <f t="shared" si="34"/>
        <v>109512</v>
      </c>
      <c r="AF56" s="109"/>
      <c r="AG56" s="116"/>
      <c r="AH56" s="116">
        <f t="shared" si="17"/>
        <v>8808462</v>
      </c>
      <c r="AI56" s="109"/>
      <c r="AJ56" s="116">
        <f>AH56-'T8-24'!AH56</f>
        <v>0</v>
      </c>
      <c r="AK56" s="334" t="s">
        <v>251</v>
      </c>
      <c r="AL56" s="121"/>
      <c r="AM56" s="160"/>
      <c r="AN56" s="173"/>
      <c r="AO56" s="173"/>
      <c r="AP56" s="173"/>
      <c r="AQ56" s="173"/>
      <c r="AR56" s="173"/>
      <c r="AS56" s="173"/>
      <c r="AT56" s="173"/>
      <c r="AU56" s="173"/>
      <c r="AV56" s="173"/>
      <c r="AX56" s="385">
        <v>596000</v>
      </c>
      <c r="AY56" s="385">
        <v>7905000</v>
      </c>
    </row>
    <row r="57" spans="1:58" ht="20.25" customHeight="1" x14ac:dyDescent="0.4">
      <c r="A57" s="108" t="s">
        <v>171</v>
      </c>
      <c r="B57" s="177" t="s">
        <v>223</v>
      </c>
      <c r="C57" s="110" t="s">
        <v>90</v>
      </c>
      <c r="D57" s="123" t="s">
        <v>365</v>
      </c>
      <c r="E57" s="320" t="s">
        <v>345</v>
      </c>
      <c r="F57" s="113">
        <v>2.1</v>
      </c>
      <c r="G57" s="113"/>
      <c r="H57" s="114"/>
      <c r="I57" s="110"/>
      <c r="J57" s="130"/>
      <c r="K57" s="115">
        <f>ROUND((F57+G57+I57)*J57/100,4)</f>
        <v>0</v>
      </c>
      <c r="L57" s="115">
        <f t="shared" ref="L57" si="49">F57+G57+I57+K57</f>
        <v>2.1</v>
      </c>
      <c r="M57" s="116">
        <f t="shared" ref="M57" si="50">ROUND(L57*2340000,0)</f>
        <v>4914000</v>
      </c>
      <c r="N57" s="178">
        <v>0.5</v>
      </c>
      <c r="O57" s="397">
        <f t="shared" ref="O57" si="51">(F57+G57+I57)*N57</f>
        <v>1.05</v>
      </c>
      <c r="P57" s="116">
        <f t="shared" ref="P57" si="52">ROUND(O57*2340000,0)</f>
        <v>2457000</v>
      </c>
      <c r="Q57" s="118"/>
      <c r="R57" s="116">
        <f t="shared" si="24"/>
        <v>1170000</v>
      </c>
      <c r="S57" s="119"/>
      <c r="T57" s="116">
        <f t="shared" ref="T57" si="53">S57*2340000</f>
        <v>0</v>
      </c>
      <c r="U57" s="119"/>
      <c r="V57" s="120">
        <f t="shared" ref="V57" si="54">U57*2340000</f>
        <v>0</v>
      </c>
      <c r="W57" s="120"/>
      <c r="X57" s="116">
        <f t="shared" ref="X57" si="55">ROUND((L57*2340000*17/100),0)</f>
        <v>835380</v>
      </c>
      <c r="Y57" s="116">
        <f t="shared" ref="Y57" si="56">ROUND((L57*2340000*8/100),0)</f>
        <v>393120</v>
      </c>
      <c r="Z57" s="116">
        <f t="shared" ref="Z57" si="57">ROUND((L57*2340000*0.5/100),0)</f>
        <v>24570</v>
      </c>
      <c r="AA57" s="116">
        <f t="shared" ref="AA57" si="58">ROUND((L57*2340000*3/100),0)</f>
        <v>147420</v>
      </c>
      <c r="AB57" s="116">
        <f t="shared" ref="AB57" si="59">ROUND((L57*2340000*1.5/100),0)</f>
        <v>73710</v>
      </c>
      <c r="AC57" s="116">
        <f t="shared" ref="AC57" si="60">ROUND((L57*2340000*1/100),0)</f>
        <v>49140</v>
      </c>
      <c r="AD57" s="116">
        <f t="shared" ref="AD57" si="61">ROUND((L57*2340000*1/100),0)</f>
        <v>49140</v>
      </c>
      <c r="AE57" s="116">
        <f t="shared" ref="AE57" si="62">ROUND((L57*2340000*2/100),0)</f>
        <v>98280</v>
      </c>
      <c r="AF57" s="109"/>
      <c r="AG57" s="116"/>
      <c r="AH57" s="116">
        <f t="shared" si="17"/>
        <v>8025030</v>
      </c>
      <c r="AI57" s="109"/>
      <c r="AJ57" s="116">
        <f>AH57-'T8-24'!AH57</f>
        <v>0</v>
      </c>
      <c r="AK57" s="334"/>
      <c r="AL57" s="121"/>
      <c r="AM57" s="173"/>
      <c r="AN57" s="321"/>
      <c r="AO57" s="322"/>
      <c r="AP57" s="322"/>
      <c r="AQ57" s="321"/>
      <c r="AR57" s="321"/>
      <c r="AS57" s="321"/>
      <c r="AT57" s="179"/>
      <c r="AU57" s="180"/>
      <c r="AV57" s="180"/>
      <c r="AW57" s="88"/>
      <c r="AX57" s="181">
        <v>139243480</v>
      </c>
      <c r="AY57" s="323">
        <v>124000</v>
      </c>
      <c r="AZ57" s="182"/>
      <c r="BA57" s="182"/>
      <c r="BB57" s="183"/>
      <c r="BC57" s="88"/>
      <c r="BD57" s="184"/>
      <c r="BE57" s="173"/>
    </row>
    <row r="58" spans="1:58" ht="20.25" customHeight="1" x14ac:dyDescent="0.4">
      <c r="A58" s="108" t="s">
        <v>372</v>
      </c>
      <c r="B58" s="177" t="s">
        <v>369</v>
      </c>
      <c r="C58" s="110" t="s">
        <v>370</v>
      </c>
      <c r="D58" s="123" t="s">
        <v>371</v>
      </c>
      <c r="E58" s="320" t="s">
        <v>334</v>
      </c>
      <c r="F58" s="113">
        <v>4</v>
      </c>
      <c r="G58" s="113"/>
      <c r="H58" s="114"/>
      <c r="I58" s="110"/>
      <c r="J58" s="130">
        <v>10</v>
      </c>
      <c r="K58" s="115">
        <f>ROUND((F58+G58+I58)*J58/100,4)</f>
        <v>0.4</v>
      </c>
      <c r="L58" s="115">
        <f t="shared" ref="L58" si="63">F58+G58+I58+K58</f>
        <v>4.4000000000000004</v>
      </c>
      <c r="M58" s="116">
        <f t="shared" ref="M58" si="64">ROUND(L58*2340000,0)</f>
        <v>10296000</v>
      </c>
      <c r="N58" s="178">
        <v>0.5</v>
      </c>
      <c r="O58" s="397">
        <f t="shared" ref="O58" si="65">(F58+G58+I58)*N58</f>
        <v>2</v>
      </c>
      <c r="P58" s="116">
        <f t="shared" ref="P58" si="66">ROUND(O58*2340000,0)</f>
        <v>4680000</v>
      </c>
      <c r="Q58" s="118"/>
      <c r="R58" s="116">
        <f t="shared" si="24"/>
        <v>1170000</v>
      </c>
      <c r="S58" s="119"/>
      <c r="T58" s="116">
        <f t="shared" ref="T58" si="67">S58*2340000</f>
        <v>0</v>
      </c>
      <c r="U58" s="119"/>
      <c r="V58" s="120">
        <f t="shared" ref="V58" si="68">U58*2340000</f>
        <v>0</v>
      </c>
      <c r="W58" s="120"/>
      <c r="X58" s="116">
        <f t="shared" ref="X58" si="69">ROUND((L58*2340000*17/100),0)</f>
        <v>1750320</v>
      </c>
      <c r="Y58" s="116">
        <f t="shared" ref="Y58" si="70">ROUND((L58*2340000*8/100),0)</f>
        <v>823680</v>
      </c>
      <c r="Z58" s="116">
        <f t="shared" ref="Z58" si="71">ROUND((L58*2340000*0.5/100),0)</f>
        <v>51480</v>
      </c>
      <c r="AA58" s="116">
        <f t="shared" ref="AA58" si="72">ROUND((L58*2340000*3/100),0)</f>
        <v>308880</v>
      </c>
      <c r="AB58" s="116">
        <f t="shared" ref="AB58" si="73">ROUND((L58*2340000*1.5/100),0)</f>
        <v>154440</v>
      </c>
      <c r="AC58" s="116">
        <f t="shared" ref="AC58" si="74">ROUND((L58*2340000*1/100),0)</f>
        <v>102960</v>
      </c>
      <c r="AD58" s="116">
        <f t="shared" ref="AD58" si="75">ROUND((L58*2340000*1/100),0)</f>
        <v>102960</v>
      </c>
      <c r="AE58" s="116">
        <f t="shared" ref="AE58" si="76">ROUND((L58*2340000*2/100),0)</f>
        <v>205920</v>
      </c>
      <c r="AF58" s="109"/>
      <c r="AG58" s="116"/>
      <c r="AH58" s="116">
        <f>M58-Y58-AB58-AD58+P58+R58+T58+V58+W58</f>
        <v>15064920</v>
      </c>
      <c r="AI58" s="109"/>
      <c r="AJ58" s="116"/>
      <c r="AK58" s="334"/>
      <c r="AL58" s="121"/>
      <c r="AM58" s="173"/>
      <c r="AN58" s="321"/>
      <c r="AO58" s="322"/>
      <c r="AP58" s="322"/>
      <c r="AQ58" s="321"/>
      <c r="AR58" s="321"/>
      <c r="AS58" s="321"/>
      <c r="AT58" s="179"/>
      <c r="AU58" s="180"/>
      <c r="AV58" s="180"/>
      <c r="AW58" s="88"/>
      <c r="AX58" s="181">
        <v>139243480</v>
      </c>
      <c r="AY58" s="323">
        <v>124000</v>
      </c>
      <c r="AZ58" s="182"/>
      <c r="BA58" s="182"/>
      <c r="BB58" s="183"/>
      <c r="BC58" s="88"/>
      <c r="BD58" s="184"/>
      <c r="BE58" s="173"/>
    </row>
    <row r="59" spans="1:58" s="190" customFormat="1" ht="37.5" customHeight="1" x14ac:dyDescent="0.3">
      <c r="A59" s="630" t="s">
        <v>86</v>
      </c>
      <c r="B59" s="700" t="s">
        <v>301</v>
      </c>
      <c r="C59" s="701"/>
      <c r="D59" s="701"/>
      <c r="E59" s="702"/>
      <c r="F59" s="185">
        <f>SUM(F60:F63)</f>
        <v>8.3800000000000008</v>
      </c>
      <c r="G59" s="185">
        <v>0</v>
      </c>
      <c r="H59" s="185">
        <v>0</v>
      </c>
      <c r="I59" s="186">
        <v>0</v>
      </c>
      <c r="J59" s="187"/>
      <c r="K59" s="188">
        <v>0</v>
      </c>
      <c r="L59" s="188">
        <f>SUM(L60:L63)</f>
        <v>8.3800000000000008</v>
      </c>
      <c r="M59" s="391">
        <f t="shared" ref="M59:AJ59" si="77">SUM(M60:M63)</f>
        <v>19609200</v>
      </c>
      <c r="N59" s="391">
        <f t="shared" ref="N59" si="78">SUM(N60:N63)</f>
        <v>0</v>
      </c>
      <c r="O59" s="391">
        <f t="shared" ref="O59" si="79">SUM(O60:O63)</f>
        <v>0</v>
      </c>
      <c r="P59" s="391">
        <f t="shared" ref="P59" si="80">SUM(P60:P63)</f>
        <v>0</v>
      </c>
      <c r="Q59" s="391">
        <f t="shared" ref="Q59" si="81">SUM(Q60:Q63)</f>
        <v>0</v>
      </c>
      <c r="R59" s="391">
        <f t="shared" ref="R59" si="82">SUM(R60:R63)</f>
        <v>4680000</v>
      </c>
      <c r="S59" s="391">
        <f t="shared" ref="S59" si="83">SUM(S60:S63)</f>
        <v>0</v>
      </c>
      <c r="T59" s="391">
        <f t="shared" ref="T59" si="84">SUM(T60:T63)</f>
        <v>0</v>
      </c>
      <c r="U59" s="391">
        <f t="shared" ref="U59" si="85">SUM(U60:U63)</f>
        <v>0</v>
      </c>
      <c r="V59" s="391">
        <f t="shared" ref="V59" si="86">SUM(V60:V63)</f>
        <v>0</v>
      </c>
      <c r="W59" s="391">
        <f t="shared" ref="W59" si="87">SUM(W60:W63)</f>
        <v>0</v>
      </c>
      <c r="X59" s="391">
        <f t="shared" ref="X59" si="88">SUM(X60:X63)</f>
        <v>3333564</v>
      </c>
      <c r="Y59" s="391">
        <f t="shared" ref="Y59" si="89">SUM(Y60:Y63)</f>
        <v>1568736</v>
      </c>
      <c r="Z59" s="391">
        <f t="shared" ref="Z59" si="90">SUM(Z60:Z63)</f>
        <v>98046</v>
      </c>
      <c r="AA59" s="391">
        <f t="shared" ref="AA59" si="91">SUM(AA60:AA63)</f>
        <v>588276</v>
      </c>
      <c r="AB59" s="391">
        <f t="shared" ref="AB59" si="92">SUM(AB60:AB63)</f>
        <v>294138</v>
      </c>
      <c r="AC59" s="391">
        <f t="shared" ref="AC59" si="93">SUM(AC60:AC63)</f>
        <v>196092</v>
      </c>
      <c r="AD59" s="391">
        <f t="shared" ref="AD59" si="94">SUM(AD60:AD63)</f>
        <v>196092</v>
      </c>
      <c r="AE59" s="391">
        <f t="shared" ref="AE59" si="95">SUM(AE60:AE63)</f>
        <v>392184</v>
      </c>
      <c r="AF59" s="391">
        <f t="shared" ref="AF59" si="96">SUM(AF60:AF63)</f>
        <v>0</v>
      </c>
      <c r="AG59" s="391">
        <f t="shared" ref="AG59" si="97">SUM(AG60:AG63)</f>
        <v>0</v>
      </c>
      <c r="AH59" s="391">
        <f t="shared" ref="AH59" si="98">SUM(AH60:AH63)</f>
        <v>22230234</v>
      </c>
      <c r="AI59" s="188">
        <f t="shared" si="77"/>
        <v>0</v>
      </c>
      <c r="AJ59" s="188">
        <f t="shared" si="77"/>
        <v>0</v>
      </c>
      <c r="AK59" s="386"/>
      <c r="AL59" s="189"/>
      <c r="AM59" s="204"/>
      <c r="AN59" s="205"/>
      <c r="AO59" s="205"/>
      <c r="AP59" s="205"/>
      <c r="AQ59" s="206"/>
      <c r="AR59" s="206"/>
      <c r="AS59" s="206"/>
      <c r="AT59" s="207"/>
      <c r="AU59" s="208"/>
      <c r="AV59" s="208"/>
      <c r="AW59" s="209"/>
      <c r="AX59" s="210">
        <v>745000</v>
      </c>
      <c r="AY59" s="211">
        <v>28970120</v>
      </c>
      <c r="AZ59" s="212"/>
      <c r="BA59" s="213"/>
      <c r="BB59" s="344"/>
      <c r="BC59" s="209"/>
      <c r="BD59" s="345"/>
      <c r="BE59" s="346"/>
    </row>
    <row r="60" spans="1:58" s="144" customFormat="1" ht="20.25" customHeight="1" x14ac:dyDescent="0.3">
      <c r="A60" s="191">
        <v>1</v>
      </c>
      <c r="B60" s="192" t="s">
        <v>6</v>
      </c>
      <c r="C60" s="193" t="s">
        <v>290</v>
      </c>
      <c r="D60" s="193"/>
      <c r="E60" s="194" t="s">
        <v>304</v>
      </c>
      <c r="F60" s="195">
        <v>2.58</v>
      </c>
      <c r="G60" s="195"/>
      <c r="H60" s="196"/>
      <c r="I60" s="136"/>
      <c r="J60" s="197"/>
      <c r="K60" s="198"/>
      <c r="L60" s="175">
        <f>F60</f>
        <v>2.58</v>
      </c>
      <c r="M60" s="116">
        <f t="shared" si="21"/>
        <v>6037200</v>
      </c>
      <c r="N60" s="178"/>
      <c r="O60" s="199"/>
      <c r="P60" s="116">
        <f t="shared" si="23"/>
        <v>0</v>
      </c>
      <c r="Q60" s="201"/>
      <c r="R60" s="116">
        <f t="shared" si="24"/>
        <v>1170000</v>
      </c>
      <c r="S60" s="202"/>
      <c r="T60" s="200"/>
      <c r="U60" s="202"/>
      <c r="V60" s="176"/>
      <c r="W60" s="176"/>
      <c r="X60" s="116">
        <f t="shared" ref="X60:X63" si="99">ROUND((L60*2340000*17/100),0)</f>
        <v>1026324</v>
      </c>
      <c r="Y60" s="116">
        <f t="shared" ref="Y60:Y63" si="100">ROUND((L60*2340000*8/100),0)</f>
        <v>482976</v>
      </c>
      <c r="Z60" s="116">
        <f t="shared" ref="Z60:Z63" si="101">ROUND((L60*2340000*0.5/100),0)</f>
        <v>30186</v>
      </c>
      <c r="AA60" s="116">
        <f t="shared" ref="AA60:AA63" si="102">ROUND((L60*2340000*3/100),0)</f>
        <v>181116</v>
      </c>
      <c r="AB60" s="116">
        <f t="shared" ref="AB60:AB63" si="103">ROUND((L60*2340000*1.5/100),0)</f>
        <v>90558</v>
      </c>
      <c r="AC60" s="116">
        <f t="shared" ref="AC60:AC63" si="104">ROUND((L60*2340000*1/100),0)</f>
        <v>60372</v>
      </c>
      <c r="AD60" s="116">
        <f t="shared" ref="AD60:AD63" si="105">ROUND((L60*2340000*1/100),0)</f>
        <v>60372</v>
      </c>
      <c r="AE60" s="116">
        <f t="shared" ref="AE60:AE63" si="106">ROUND((L60*2340000*2/100),0)</f>
        <v>120744</v>
      </c>
      <c r="AF60" s="192"/>
      <c r="AG60" s="200"/>
      <c r="AH60" s="200">
        <f>M60-Y60-AB60-AD60+P60+R60+T60+V60+W60</f>
        <v>6573294</v>
      </c>
      <c r="AI60" s="192"/>
      <c r="AJ60" s="335"/>
      <c r="AK60" s="334"/>
      <c r="AL60" s="203"/>
      <c r="AM60" s="204"/>
      <c r="AN60" s="205"/>
      <c r="AO60" s="205"/>
      <c r="AP60" s="205"/>
      <c r="AQ60" s="206"/>
      <c r="AR60" s="206"/>
      <c r="AS60" s="206"/>
      <c r="AT60" s="207"/>
      <c r="AU60" s="208"/>
      <c r="AV60" s="208"/>
      <c r="AW60" s="209"/>
      <c r="AX60" s="210">
        <v>46114691</v>
      </c>
      <c r="AY60" s="211">
        <v>155000</v>
      </c>
      <c r="AZ60" s="212"/>
      <c r="BA60" s="213"/>
      <c r="BB60" s="214"/>
      <c r="BC60" s="215"/>
      <c r="BD60" s="216"/>
      <c r="BE60" s="217"/>
      <c r="BF60" s="190"/>
    </row>
    <row r="61" spans="1:58" s="144" customFormat="1" ht="20.25" customHeight="1" x14ac:dyDescent="0.25">
      <c r="A61" s="191">
        <v>2</v>
      </c>
      <c r="B61" s="192" t="s">
        <v>172</v>
      </c>
      <c r="C61" s="193" t="s">
        <v>290</v>
      </c>
      <c r="D61" s="193"/>
      <c r="E61" s="194" t="s">
        <v>304</v>
      </c>
      <c r="F61" s="195">
        <v>2.04</v>
      </c>
      <c r="G61" s="195"/>
      <c r="H61" s="196"/>
      <c r="I61" s="136"/>
      <c r="J61" s="197"/>
      <c r="K61" s="198"/>
      <c r="L61" s="175">
        <f>F61</f>
        <v>2.04</v>
      </c>
      <c r="M61" s="116">
        <f t="shared" si="21"/>
        <v>4773600</v>
      </c>
      <c r="N61" s="178"/>
      <c r="O61" s="199"/>
      <c r="P61" s="116">
        <f t="shared" si="23"/>
        <v>0</v>
      </c>
      <c r="Q61" s="201"/>
      <c r="R61" s="116">
        <f t="shared" si="24"/>
        <v>1170000</v>
      </c>
      <c r="S61" s="202"/>
      <c r="T61" s="200"/>
      <c r="U61" s="202"/>
      <c r="V61" s="176"/>
      <c r="W61" s="176"/>
      <c r="X61" s="116">
        <f t="shared" si="99"/>
        <v>811512</v>
      </c>
      <c r="Y61" s="116">
        <f t="shared" si="100"/>
        <v>381888</v>
      </c>
      <c r="Z61" s="116">
        <f t="shared" si="101"/>
        <v>23868</v>
      </c>
      <c r="AA61" s="116">
        <f t="shared" si="102"/>
        <v>143208</v>
      </c>
      <c r="AB61" s="116">
        <f t="shared" si="103"/>
        <v>71604</v>
      </c>
      <c r="AC61" s="116">
        <f t="shared" si="104"/>
        <v>47736</v>
      </c>
      <c r="AD61" s="116">
        <f t="shared" si="105"/>
        <v>47736</v>
      </c>
      <c r="AE61" s="116">
        <f t="shared" si="106"/>
        <v>95472</v>
      </c>
      <c r="AF61" s="192"/>
      <c r="AG61" s="200"/>
      <c r="AH61" s="200">
        <f t="shared" ref="AH61:AH63" si="107">M61-Y61-AB61-AD61+P61+R61+T61+V61+W61</f>
        <v>5442372</v>
      </c>
      <c r="AI61" s="192"/>
      <c r="AJ61" s="335"/>
      <c r="AK61" s="334"/>
      <c r="AL61" s="203"/>
      <c r="AM61" s="218"/>
      <c r="AN61" s="219"/>
      <c r="AO61" s="220"/>
      <c r="AP61" s="221"/>
      <c r="AQ61" s="222"/>
      <c r="AR61" s="222"/>
      <c r="AS61" s="222"/>
      <c r="AT61" s="223"/>
      <c r="AU61" s="219"/>
      <c r="AV61" s="219"/>
      <c r="AW61" s="224"/>
      <c r="AX61" s="225">
        <v>298000</v>
      </c>
      <c r="AY61" s="226">
        <v>9594333</v>
      </c>
      <c r="AZ61" s="227"/>
      <c r="BA61" s="228"/>
      <c r="BB61" s="229"/>
      <c r="BC61" s="230"/>
    </row>
    <row r="62" spans="1:58" s="144" customFormat="1" ht="24.75" customHeight="1" x14ac:dyDescent="0.25">
      <c r="A62" s="191">
        <v>3</v>
      </c>
      <c r="B62" s="192" t="s">
        <v>227</v>
      </c>
      <c r="C62" s="193" t="s">
        <v>290</v>
      </c>
      <c r="D62" s="193"/>
      <c r="E62" s="194" t="s">
        <v>304</v>
      </c>
      <c r="F62" s="195">
        <v>1.86</v>
      </c>
      <c r="G62" s="195"/>
      <c r="H62" s="196"/>
      <c r="I62" s="136"/>
      <c r="J62" s="197"/>
      <c r="K62" s="198"/>
      <c r="L62" s="175">
        <f>F62</f>
        <v>1.86</v>
      </c>
      <c r="M62" s="116">
        <f t="shared" si="21"/>
        <v>4352400</v>
      </c>
      <c r="N62" s="178"/>
      <c r="O62" s="199"/>
      <c r="P62" s="116">
        <f t="shared" si="23"/>
        <v>0</v>
      </c>
      <c r="Q62" s="201"/>
      <c r="R62" s="116">
        <f t="shared" si="24"/>
        <v>1170000</v>
      </c>
      <c r="S62" s="202"/>
      <c r="T62" s="200"/>
      <c r="U62" s="202"/>
      <c r="V62" s="176"/>
      <c r="W62" s="176"/>
      <c r="X62" s="116">
        <f t="shared" si="99"/>
        <v>739908</v>
      </c>
      <c r="Y62" s="116">
        <f t="shared" si="100"/>
        <v>348192</v>
      </c>
      <c r="Z62" s="116">
        <f t="shared" si="101"/>
        <v>21762</v>
      </c>
      <c r="AA62" s="116">
        <f t="shared" si="102"/>
        <v>130572</v>
      </c>
      <c r="AB62" s="116">
        <f t="shared" si="103"/>
        <v>65286</v>
      </c>
      <c r="AC62" s="116">
        <f t="shared" si="104"/>
        <v>43524</v>
      </c>
      <c r="AD62" s="116">
        <f t="shared" si="105"/>
        <v>43524</v>
      </c>
      <c r="AE62" s="116">
        <f t="shared" si="106"/>
        <v>87048</v>
      </c>
      <c r="AF62" s="192"/>
      <c r="AG62" s="200"/>
      <c r="AH62" s="200">
        <f t="shared" si="107"/>
        <v>5065398</v>
      </c>
      <c r="AI62" s="231"/>
      <c r="AJ62" s="386"/>
      <c r="AK62" s="335"/>
      <c r="AL62" s="232"/>
      <c r="AM62" s="218"/>
      <c r="AN62" s="219"/>
      <c r="AO62" s="220"/>
      <c r="AP62" s="221"/>
      <c r="AQ62" s="222"/>
      <c r="AR62" s="222"/>
      <c r="AS62" s="222"/>
      <c r="AT62" s="223"/>
      <c r="AU62" s="219"/>
      <c r="AV62" s="219"/>
      <c r="AW62" s="224"/>
      <c r="AX62" s="225">
        <f>SUM(AX53:AX61)</f>
        <v>625011352</v>
      </c>
      <c r="AY62" s="226">
        <v>62000</v>
      </c>
      <c r="AZ62" s="227"/>
      <c r="BA62" s="228"/>
      <c r="BB62" s="229"/>
      <c r="BC62" s="230"/>
    </row>
    <row r="63" spans="1:58" s="144" customFormat="1" ht="20.25" customHeight="1" x14ac:dyDescent="0.25">
      <c r="A63" s="191">
        <v>4</v>
      </c>
      <c r="B63" s="192" t="s">
        <v>228</v>
      </c>
      <c r="C63" s="193" t="s">
        <v>291</v>
      </c>
      <c r="D63" s="193"/>
      <c r="E63" s="194" t="s">
        <v>304</v>
      </c>
      <c r="F63" s="195">
        <v>1.9</v>
      </c>
      <c r="G63" s="195"/>
      <c r="H63" s="196"/>
      <c r="I63" s="136"/>
      <c r="J63" s="197"/>
      <c r="K63" s="198"/>
      <c r="L63" s="175">
        <f>F63</f>
        <v>1.9</v>
      </c>
      <c r="M63" s="116">
        <f t="shared" si="21"/>
        <v>4446000</v>
      </c>
      <c r="N63" s="178"/>
      <c r="O63" s="199"/>
      <c r="P63" s="116">
        <f t="shared" si="23"/>
        <v>0</v>
      </c>
      <c r="Q63" s="201"/>
      <c r="R63" s="116">
        <f t="shared" si="24"/>
        <v>1170000</v>
      </c>
      <c r="S63" s="202"/>
      <c r="T63" s="200"/>
      <c r="U63" s="202"/>
      <c r="V63" s="176"/>
      <c r="W63" s="176"/>
      <c r="X63" s="116">
        <f t="shared" si="99"/>
        <v>755820</v>
      </c>
      <c r="Y63" s="116">
        <f t="shared" si="100"/>
        <v>355680</v>
      </c>
      <c r="Z63" s="116">
        <f t="shared" si="101"/>
        <v>22230</v>
      </c>
      <c r="AA63" s="116">
        <f t="shared" si="102"/>
        <v>133380</v>
      </c>
      <c r="AB63" s="116">
        <f t="shared" si="103"/>
        <v>66690</v>
      </c>
      <c r="AC63" s="116">
        <f t="shared" si="104"/>
        <v>44460</v>
      </c>
      <c r="AD63" s="116">
        <f t="shared" si="105"/>
        <v>44460</v>
      </c>
      <c r="AE63" s="116">
        <f t="shared" si="106"/>
        <v>88920</v>
      </c>
      <c r="AF63" s="192"/>
      <c r="AG63" s="200"/>
      <c r="AH63" s="200">
        <f t="shared" si="107"/>
        <v>5149170</v>
      </c>
      <c r="AI63" s="231"/>
      <c r="AJ63" s="335"/>
      <c r="AK63" s="334"/>
      <c r="AL63" s="232"/>
      <c r="AM63" s="218"/>
      <c r="AN63" s="219"/>
      <c r="AO63" s="220"/>
      <c r="AP63" s="221"/>
      <c r="AQ63" s="222"/>
      <c r="AR63" s="222"/>
      <c r="AS63" s="222"/>
      <c r="AT63" s="223"/>
      <c r="AU63" s="219"/>
      <c r="AV63" s="219"/>
      <c r="AW63" s="224"/>
      <c r="AX63" s="233"/>
      <c r="AY63" s="234">
        <f>SUM(AY53:AY62)</f>
        <v>101499802</v>
      </c>
      <c r="AZ63" s="227"/>
      <c r="BA63" s="228"/>
      <c r="BB63" s="229"/>
      <c r="BC63" s="230"/>
    </row>
    <row r="64" spans="1:58" s="144" customFormat="1" ht="24" customHeight="1" x14ac:dyDescent="0.25">
      <c r="A64" s="727" t="s">
        <v>63</v>
      </c>
      <c r="B64" s="728"/>
      <c r="C64" s="235"/>
      <c r="D64" s="235"/>
      <c r="E64" s="235"/>
      <c r="F64" s="236">
        <f>F59+F8</f>
        <v>203.95000000000002</v>
      </c>
      <c r="G64" s="236">
        <f>G8</f>
        <v>3.4</v>
      </c>
      <c r="H64" s="236">
        <f>H8</f>
        <v>0</v>
      </c>
      <c r="I64" s="237">
        <f>I8</f>
        <v>0.20299999999999999</v>
      </c>
      <c r="J64" s="236"/>
      <c r="K64" s="237">
        <f>K8</f>
        <v>37.035999999999994</v>
      </c>
      <c r="L64" s="236">
        <f t="shared" ref="L64:AI64" si="108">L59+L8</f>
        <v>244.58900000000003</v>
      </c>
      <c r="M64" s="238">
        <f t="shared" si="108"/>
        <v>572338260</v>
      </c>
      <c r="N64" s="238">
        <f t="shared" si="108"/>
        <v>0</v>
      </c>
      <c r="O64" s="239">
        <f t="shared" si="108"/>
        <v>95.138499999999993</v>
      </c>
      <c r="P64" s="238">
        <f t="shared" si="108"/>
        <v>222624090</v>
      </c>
      <c r="Q64" s="238">
        <f t="shared" si="108"/>
        <v>0</v>
      </c>
      <c r="R64" s="238">
        <f t="shared" si="108"/>
        <v>62010000</v>
      </c>
      <c r="S64" s="236">
        <f t="shared" si="108"/>
        <v>0.5</v>
      </c>
      <c r="T64" s="238">
        <f t="shared" si="108"/>
        <v>1170000</v>
      </c>
      <c r="U64" s="236">
        <f t="shared" si="108"/>
        <v>0.4</v>
      </c>
      <c r="V64" s="238">
        <f t="shared" si="108"/>
        <v>936000</v>
      </c>
      <c r="W64" s="238">
        <f t="shared" si="108"/>
        <v>468000</v>
      </c>
      <c r="X64" s="238">
        <f t="shared" si="108"/>
        <v>97297504</v>
      </c>
      <c r="Y64" s="238">
        <f t="shared" si="108"/>
        <v>45787061</v>
      </c>
      <c r="Z64" s="238">
        <f t="shared" si="108"/>
        <v>2861691</v>
      </c>
      <c r="AA64" s="238">
        <f t="shared" si="108"/>
        <v>17170148</v>
      </c>
      <c r="AB64" s="238">
        <f t="shared" si="108"/>
        <v>8585074</v>
      </c>
      <c r="AC64" s="238">
        <f t="shared" si="108"/>
        <v>5723384</v>
      </c>
      <c r="AD64" s="238">
        <f t="shared" si="108"/>
        <v>5723384</v>
      </c>
      <c r="AE64" s="238">
        <f t="shared" si="108"/>
        <v>11446762</v>
      </c>
      <c r="AF64" s="238">
        <f t="shared" si="108"/>
        <v>0</v>
      </c>
      <c r="AG64" s="238">
        <f t="shared" si="108"/>
        <v>0</v>
      </c>
      <c r="AH64" s="238">
        <f>AH59+AH8</f>
        <v>799450831</v>
      </c>
      <c r="AI64" s="238">
        <f t="shared" si="108"/>
        <v>0</v>
      </c>
      <c r="AJ64" s="386"/>
      <c r="AK64" s="386"/>
      <c r="AL64" s="240"/>
      <c r="AM64" s="218" t="e">
        <f>AK64-#REF!</f>
        <v>#REF!</v>
      </c>
      <c r="AN64" s="219"/>
      <c r="AO64" s="220"/>
      <c r="AP64" s="221"/>
      <c r="AQ64" s="222"/>
      <c r="AR64" s="222"/>
      <c r="AS64" s="222"/>
      <c r="AT64" s="223"/>
      <c r="AU64" s="219"/>
      <c r="AV64" s="219"/>
      <c r="AW64" s="224"/>
      <c r="AX64" s="233"/>
      <c r="AY64" s="234"/>
      <c r="AZ64" s="227"/>
      <c r="BA64" s="228"/>
      <c r="BB64" s="229"/>
      <c r="BC64" s="230"/>
    </row>
    <row r="65" spans="1:58" ht="21.75" customHeight="1" x14ac:dyDescent="0.3">
      <c r="A65" s="729" t="s">
        <v>375</v>
      </c>
      <c r="B65" s="729"/>
      <c r="C65" s="729"/>
      <c r="D65" s="729"/>
      <c r="E65" s="729"/>
      <c r="F65" s="729"/>
      <c r="G65" s="729"/>
      <c r="H65" s="729"/>
      <c r="I65" s="729"/>
      <c r="J65" s="729"/>
      <c r="K65" s="729"/>
      <c r="L65" s="729"/>
      <c r="M65" s="729"/>
      <c r="N65" s="729"/>
      <c r="O65" s="729"/>
      <c r="P65" s="729"/>
      <c r="Q65" s="729"/>
      <c r="R65" s="729"/>
      <c r="S65" s="729"/>
      <c r="T65" s="729"/>
      <c r="U65" s="729"/>
      <c r="V65" s="729"/>
      <c r="W65" s="729"/>
      <c r="X65" s="729"/>
      <c r="Y65" s="729"/>
      <c r="Z65" s="729"/>
      <c r="AA65" s="729"/>
      <c r="AB65" s="58"/>
      <c r="AC65" s="58"/>
      <c r="AD65" s="58"/>
      <c r="AE65" s="58"/>
      <c r="AF65" s="58"/>
      <c r="AG65" s="58"/>
      <c r="AH65" s="58"/>
      <c r="AI65" s="58"/>
      <c r="AJ65" s="335"/>
      <c r="AK65" s="334"/>
      <c r="AL65" s="58"/>
      <c r="AM65" s="218"/>
      <c r="AN65" s="173"/>
      <c r="AO65" s="173"/>
      <c r="AP65" s="173"/>
      <c r="AQ65" s="173"/>
      <c r="AR65" s="173"/>
      <c r="AS65" s="173"/>
      <c r="AT65" s="173"/>
      <c r="AU65" s="173"/>
      <c r="AV65" s="173"/>
    </row>
    <row r="66" spans="1:58" x14ac:dyDescent="0.3">
      <c r="A66" s="241"/>
      <c r="B66" s="58"/>
      <c r="C66" s="242"/>
      <c r="F66" s="243"/>
      <c r="G66" s="243"/>
      <c r="H66" s="58"/>
      <c r="I66" s="58"/>
      <c r="J66" s="242"/>
      <c r="K66" s="58"/>
      <c r="L66" s="242"/>
      <c r="Q66" s="244"/>
      <c r="R66" s="245"/>
      <c r="S66" s="58"/>
      <c r="T66" s="58"/>
      <c r="U66" s="58"/>
      <c r="V66" s="242"/>
      <c r="W66" s="242"/>
      <c r="X66" s="58"/>
      <c r="Y66" s="58"/>
      <c r="Z66" s="58"/>
      <c r="AA66" s="58"/>
      <c r="AB66" s="58"/>
      <c r="AC66" s="730" t="s">
        <v>373</v>
      </c>
      <c r="AD66" s="730"/>
      <c r="AE66" s="730"/>
      <c r="AF66" s="730"/>
      <c r="AG66" s="730"/>
      <c r="AH66" s="730"/>
      <c r="AI66" s="730"/>
      <c r="AJ66" s="335"/>
      <c r="AK66" s="334"/>
      <c r="AL66" s="632"/>
      <c r="AM66" s="218"/>
      <c r="AN66" s="173"/>
      <c r="AO66" s="173"/>
      <c r="AP66" s="173"/>
      <c r="AQ66" s="173"/>
      <c r="AR66" s="173"/>
      <c r="AS66" s="173"/>
      <c r="AT66" s="173"/>
      <c r="AU66" s="173"/>
      <c r="AV66" s="173"/>
      <c r="BF66" s="144"/>
    </row>
    <row r="67" spans="1:58" x14ac:dyDescent="0.3">
      <c r="A67" s="246"/>
      <c r="B67" s="660" t="s">
        <v>64</v>
      </c>
      <c r="C67" s="660"/>
      <c r="D67" s="660"/>
      <c r="E67" s="660"/>
      <c r="F67" s="660"/>
      <c r="G67" s="660"/>
      <c r="H67" s="660"/>
      <c r="I67" s="190"/>
      <c r="J67" s="625"/>
      <c r="K67" s="190"/>
      <c r="L67" s="247"/>
      <c r="M67" s="247"/>
      <c r="N67" s="247"/>
      <c r="O67" s="247"/>
      <c r="P67" s="247"/>
      <c r="Q67" s="247"/>
      <c r="R67" s="247"/>
      <c r="S67" s="190"/>
      <c r="T67" s="660" t="s">
        <v>23</v>
      </c>
      <c r="U67" s="660"/>
      <c r="V67" s="660"/>
      <c r="W67" s="660"/>
      <c r="X67" s="190"/>
      <c r="Y67" s="660"/>
      <c r="Z67" s="660"/>
      <c r="AA67" s="660"/>
      <c r="AB67" s="660"/>
      <c r="AC67" s="190"/>
      <c r="AD67" s="730" t="s">
        <v>133</v>
      </c>
      <c r="AE67" s="730"/>
      <c r="AF67" s="730"/>
      <c r="AG67" s="730"/>
      <c r="AH67" s="248"/>
      <c r="AI67" s="248"/>
      <c r="AJ67" s="335"/>
      <c r="AK67" s="334"/>
      <c r="AL67" s="248"/>
      <c r="AM67" s="160"/>
      <c r="AN67" s="203"/>
      <c r="AO67" s="173"/>
      <c r="AP67" s="203"/>
      <c r="AQ67" s="203"/>
      <c r="AR67" s="203"/>
      <c r="AS67" s="203"/>
      <c r="AT67" s="203"/>
      <c r="AU67" s="203"/>
      <c r="AV67" s="203"/>
      <c r="AX67" s="144"/>
      <c r="BA67" s="144"/>
      <c r="BB67" s="144"/>
      <c r="BC67" s="144"/>
      <c r="BD67" s="144"/>
      <c r="BE67" s="144"/>
    </row>
    <row r="68" spans="1:58" x14ac:dyDescent="0.3">
      <c r="A68" s="241"/>
      <c r="B68" s="725" t="s">
        <v>66</v>
      </c>
      <c r="C68" s="725"/>
      <c r="D68" s="725"/>
      <c r="E68" s="725"/>
      <c r="F68" s="725"/>
      <c r="G68" s="725"/>
      <c r="H68" s="725"/>
      <c r="K68" s="249"/>
      <c r="L68" s="174"/>
      <c r="M68" s="174"/>
      <c r="N68" s="174"/>
      <c r="O68" s="174"/>
      <c r="P68" s="174"/>
      <c r="Q68" s="250"/>
      <c r="R68" s="250"/>
      <c r="T68" s="725" t="s">
        <v>66</v>
      </c>
      <c r="U68" s="725"/>
      <c r="V68" s="725"/>
      <c r="W68" s="725"/>
      <c r="Y68" s="725"/>
      <c r="Z68" s="725"/>
      <c r="AA68" s="725"/>
      <c r="AB68" s="725"/>
      <c r="AD68" s="734" t="s">
        <v>220</v>
      </c>
      <c r="AE68" s="734"/>
      <c r="AF68" s="734"/>
      <c r="AG68" s="734"/>
      <c r="AH68" s="58"/>
      <c r="AI68" s="58"/>
      <c r="AJ68" s="335"/>
      <c r="AK68" s="334"/>
      <c r="AL68" s="58"/>
      <c r="AM68" s="127">
        <v>588140030</v>
      </c>
      <c r="AW68" s="144"/>
      <c r="AY68" s="144"/>
      <c r="AZ68" s="144"/>
    </row>
    <row r="69" spans="1:58" x14ac:dyDescent="0.3">
      <c r="A69" s="241"/>
      <c r="C69" s="387"/>
      <c r="F69" s="65"/>
      <c r="G69" s="65"/>
      <c r="K69" s="174"/>
      <c r="L69" s="174"/>
      <c r="M69" s="174"/>
      <c r="N69" s="174"/>
      <c r="O69" s="174"/>
      <c r="P69" s="174"/>
      <c r="Q69" s="250"/>
      <c r="R69" s="250"/>
      <c r="V69" s="387"/>
      <c r="W69" s="387"/>
      <c r="AD69" s="251"/>
      <c r="AE69" s="252"/>
      <c r="AF69" s="633"/>
      <c r="AG69" s="633"/>
      <c r="AH69" s="58"/>
      <c r="AI69" s="58"/>
      <c r="AJ69" s="386"/>
      <c r="AK69" s="335"/>
      <c r="AL69" s="58"/>
      <c r="AM69" s="253">
        <v>3138111</v>
      </c>
    </row>
    <row r="70" spans="1:58" x14ac:dyDescent="0.3">
      <c r="A70" s="241"/>
      <c r="B70" s="58"/>
      <c r="C70" s="242"/>
      <c r="F70" s="243"/>
      <c r="G70" s="243"/>
      <c r="H70" s="58"/>
      <c r="I70" s="58"/>
      <c r="J70" s="242"/>
      <c r="K70" s="174"/>
      <c r="L70" s="174"/>
      <c r="M70" s="174"/>
      <c r="N70" s="174"/>
      <c r="O70" s="174"/>
      <c r="P70" s="174"/>
      <c r="Q70" s="250"/>
      <c r="R70" s="250"/>
      <c r="S70" s="58"/>
      <c r="T70" s="58"/>
      <c r="U70" s="58"/>
      <c r="V70" s="242"/>
      <c r="W70" s="242"/>
      <c r="X70" s="58"/>
      <c r="Y70" s="58"/>
      <c r="Z70" s="58"/>
      <c r="AA70" s="58"/>
      <c r="AB70" s="58"/>
      <c r="AC70" s="58"/>
      <c r="AD70" s="251"/>
      <c r="AE70" s="252"/>
      <c r="AF70" s="252"/>
      <c r="AG70" s="252"/>
      <c r="AH70" s="58"/>
      <c r="AI70" s="58"/>
      <c r="AJ70" s="335"/>
      <c r="AK70" s="334"/>
      <c r="AL70" s="58"/>
      <c r="AM70" s="254">
        <f>AM68+AM69</f>
        <v>591278141</v>
      </c>
      <c r="AO70" s="144"/>
    </row>
    <row r="71" spans="1:58" x14ac:dyDescent="0.3">
      <c r="A71" s="241"/>
      <c r="B71" s="58"/>
      <c r="C71" s="242"/>
      <c r="F71" s="243"/>
      <c r="G71" s="243"/>
      <c r="H71" s="58"/>
      <c r="I71" s="58"/>
      <c r="J71" s="242"/>
      <c r="K71" s="174"/>
      <c r="L71" s="174"/>
      <c r="M71" s="174"/>
      <c r="N71" s="174"/>
      <c r="O71" s="174"/>
      <c r="P71" s="174"/>
      <c r="Q71" s="250"/>
      <c r="R71" s="250"/>
      <c r="S71" s="58"/>
      <c r="T71" s="58"/>
      <c r="U71" s="58"/>
      <c r="V71" s="242"/>
      <c r="W71" s="242"/>
      <c r="X71" s="58"/>
      <c r="Y71" s="58"/>
      <c r="Z71" s="58"/>
      <c r="AA71" s="58"/>
      <c r="AB71" s="58"/>
      <c r="AC71" s="58"/>
      <c r="AD71" s="251"/>
      <c r="AE71" s="252"/>
      <c r="AF71" s="252"/>
      <c r="AG71" s="252"/>
      <c r="AH71" s="58"/>
      <c r="AI71" s="58"/>
      <c r="AJ71" s="335"/>
      <c r="AK71" s="334"/>
      <c r="AL71" s="58"/>
      <c r="AM71" s="254"/>
    </row>
    <row r="72" spans="1:58" ht="18.75" customHeight="1" x14ac:dyDescent="0.3">
      <c r="A72" s="246"/>
      <c r="B72" s="684" t="s">
        <v>174</v>
      </c>
      <c r="C72" s="684"/>
      <c r="D72" s="684"/>
      <c r="E72" s="684"/>
      <c r="F72" s="684"/>
      <c r="G72" s="684"/>
      <c r="H72" s="684"/>
      <c r="I72" s="684"/>
      <c r="J72" s="242"/>
      <c r="K72" s="174"/>
      <c r="L72" s="174"/>
      <c r="M72" s="174"/>
      <c r="N72" s="174"/>
      <c r="O72" s="174"/>
      <c r="P72" s="174"/>
      <c r="Q72" s="250"/>
      <c r="R72" s="250"/>
      <c r="S72" s="726" t="s">
        <v>174</v>
      </c>
      <c r="T72" s="726"/>
      <c r="U72" s="726"/>
      <c r="V72" s="726"/>
      <c r="W72" s="726"/>
      <c r="X72" s="58"/>
      <c r="Y72" s="726"/>
      <c r="Z72" s="726"/>
      <c r="AA72" s="726"/>
      <c r="AB72" s="726"/>
      <c r="AC72" s="726"/>
      <c r="AD72" s="730" t="s">
        <v>350</v>
      </c>
      <c r="AE72" s="730"/>
      <c r="AF72" s="730"/>
      <c r="AG72" s="730"/>
      <c r="AH72" s="248"/>
      <c r="AI72" s="248"/>
      <c r="AJ72" s="386"/>
      <c r="AK72" s="335"/>
      <c r="AL72" s="248"/>
    </row>
    <row r="73" spans="1:58" x14ac:dyDescent="0.3">
      <c r="M73" s="174"/>
      <c r="N73" s="174"/>
      <c r="O73" s="387"/>
      <c r="P73" s="387"/>
      <c r="Q73" s="250"/>
      <c r="R73" s="250"/>
      <c r="AD73" s="730"/>
      <c r="AE73" s="730"/>
      <c r="AF73" s="730"/>
      <c r="AG73" s="730"/>
      <c r="AJ73" s="335"/>
      <c r="AK73" s="334"/>
    </row>
    <row r="74" spans="1:58" x14ac:dyDescent="0.3">
      <c r="M74" s="174"/>
      <c r="N74" s="174"/>
      <c r="O74" s="174"/>
      <c r="P74" s="174"/>
      <c r="Q74" s="250"/>
      <c r="R74" s="250"/>
      <c r="AJ74" s="388"/>
      <c r="AK74" s="337"/>
    </row>
    <row r="75" spans="1:58" x14ac:dyDescent="0.3">
      <c r="M75" s="174"/>
      <c r="N75" s="174"/>
      <c r="O75" s="174"/>
      <c r="P75" s="174"/>
      <c r="Q75" s="250"/>
      <c r="R75" s="250"/>
    </row>
    <row r="76" spans="1:58" x14ac:dyDescent="0.3">
      <c r="M76" s="174"/>
      <c r="N76" s="174"/>
      <c r="O76" s="174"/>
      <c r="P76" s="174"/>
      <c r="Q76" s="250"/>
      <c r="R76" s="250"/>
    </row>
    <row r="77" spans="1:58" x14ac:dyDescent="0.3">
      <c r="M77" s="174"/>
      <c r="N77" s="174"/>
      <c r="O77" s="174"/>
      <c r="P77" s="174"/>
      <c r="Q77" s="250"/>
      <c r="R77" s="250"/>
    </row>
    <row r="78" spans="1:58" x14ac:dyDescent="0.3">
      <c r="Q78" s="250"/>
      <c r="R78" s="250"/>
    </row>
    <row r="105" spans="1:58" s="58" customFormat="1" x14ac:dyDescent="0.3">
      <c r="A105" s="692" t="s">
        <v>28</v>
      </c>
      <c r="B105" s="692"/>
      <c r="C105" s="692"/>
      <c r="D105" s="692"/>
      <c r="E105" s="692"/>
      <c r="F105" s="692"/>
      <c r="G105" s="692"/>
      <c r="H105" s="692"/>
      <c r="I105" s="692"/>
      <c r="J105" s="387"/>
      <c r="K105" s="49"/>
      <c r="L105" s="387"/>
      <c r="M105" s="49"/>
      <c r="N105" s="49"/>
      <c r="O105" s="49"/>
      <c r="P105" s="49"/>
      <c r="Q105" s="50"/>
      <c r="R105" s="49"/>
      <c r="S105" s="49"/>
      <c r="T105" s="49"/>
      <c r="U105" s="49"/>
      <c r="V105" s="50"/>
      <c r="W105" s="50"/>
      <c r="X105" s="49"/>
      <c r="Y105" s="49"/>
      <c r="Z105" s="49"/>
      <c r="AA105" s="49"/>
      <c r="AB105" s="49"/>
      <c r="AC105" s="49"/>
      <c r="AD105" s="49"/>
      <c r="AE105" s="49"/>
      <c r="AF105" s="660" t="s">
        <v>29</v>
      </c>
      <c r="AG105" s="660"/>
      <c r="AH105" s="660"/>
      <c r="AI105" s="49"/>
      <c r="AJ105" s="49"/>
      <c r="AK105" s="49"/>
      <c r="AL105" s="49"/>
      <c r="AM105" s="51"/>
      <c r="AN105" s="52"/>
      <c r="AO105" s="53"/>
      <c r="AP105" s="54"/>
      <c r="AQ105" s="54"/>
      <c r="AR105" s="54"/>
      <c r="AS105" s="54"/>
      <c r="AT105" s="55"/>
      <c r="AU105" s="51"/>
      <c r="AV105" s="51"/>
      <c r="AW105" s="56"/>
      <c r="AX105" s="57"/>
      <c r="AY105" s="57"/>
    </row>
    <row r="106" spans="1:58" s="58" customFormat="1" x14ac:dyDescent="0.3">
      <c r="A106" s="710" t="s">
        <v>30</v>
      </c>
      <c r="B106" s="710"/>
      <c r="C106" s="710"/>
      <c r="D106" s="710"/>
      <c r="E106" s="710"/>
      <c r="F106" s="710"/>
      <c r="G106" s="710"/>
      <c r="H106" s="710"/>
      <c r="I106" s="710"/>
      <c r="J106" s="387"/>
      <c r="K106" s="49"/>
      <c r="L106" s="387"/>
      <c r="M106" s="49"/>
      <c r="N106" s="49"/>
      <c r="O106" s="49"/>
      <c r="P106" s="49"/>
      <c r="Q106" s="50"/>
      <c r="R106" s="49"/>
      <c r="S106" s="49"/>
      <c r="T106" s="49"/>
      <c r="U106" s="49"/>
      <c r="V106" s="50"/>
      <c r="W106" s="50"/>
      <c r="X106" s="49"/>
      <c r="Y106" s="49"/>
      <c r="Z106" s="49"/>
      <c r="AA106" s="49"/>
      <c r="AB106" s="49"/>
      <c r="AC106" s="49"/>
      <c r="AD106" s="49"/>
      <c r="AE106" s="49"/>
      <c r="AF106" s="49"/>
      <c r="AG106" s="49"/>
      <c r="AH106" s="49"/>
      <c r="AI106" s="49"/>
      <c r="AJ106" s="49"/>
      <c r="AK106" s="49"/>
      <c r="AL106" s="49"/>
      <c r="AM106" s="51"/>
      <c r="AN106" s="59"/>
      <c r="AO106" s="59"/>
      <c r="AP106" s="60"/>
      <c r="AQ106" s="60"/>
      <c r="AR106" s="60"/>
      <c r="AS106" s="60"/>
      <c r="AT106" s="61"/>
      <c r="AU106" s="51"/>
      <c r="AV106" s="51"/>
      <c r="AW106" s="62"/>
      <c r="AX106" s="57"/>
      <c r="AY106" s="57"/>
    </row>
    <row r="107" spans="1:58" s="58" customFormat="1" x14ac:dyDescent="0.3">
      <c r="A107" s="387"/>
      <c r="B107" s="49"/>
      <c r="C107" s="670"/>
      <c r="D107" s="670"/>
      <c r="E107" s="670"/>
      <c r="F107" s="670"/>
      <c r="G107" s="670"/>
      <c r="H107" s="670"/>
      <c r="I107" s="670"/>
      <c r="J107" s="387"/>
      <c r="K107" s="49"/>
      <c r="L107" s="387"/>
      <c r="M107" s="49"/>
      <c r="N107" s="49"/>
      <c r="O107" s="49"/>
      <c r="P107" s="49"/>
      <c r="Q107" s="50"/>
      <c r="R107" s="49"/>
      <c r="S107" s="49"/>
      <c r="T107" s="49"/>
      <c r="U107" s="49"/>
      <c r="V107" s="50"/>
      <c r="W107" s="50"/>
      <c r="X107" s="49"/>
      <c r="Y107" s="49"/>
      <c r="Z107" s="49"/>
      <c r="AA107" s="49"/>
      <c r="AB107" s="49"/>
      <c r="AC107" s="49"/>
      <c r="AD107" s="49"/>
      <c r="AE107" s="49"/>
      <c r="AF107" s="49"/>
      <c r="AG107" s="49"/>
      <c r="AH107" s="49"/>
      <c r="AI107" s="49"/>
      <c r="AJ107" s="49"/>
      <c r="AK107" s="49"/>
      <c r="AL107" s="49"/>
      <c r="AM107" s="51"/>
      <c r="AN107" s="53"/>
      <c r="AO107" s="53"/>
      <c r="AP107" s="54"/>
      <c r="AQ107" s="54"/>
      <c r="AR107" s="54"/>
      <c r="AS107" s="54"/>
      <c r="AT107" s="55"/>
      <c r="AU107" s="51"/>
      <c r="AV107" s="51"/>
      <c r="AW107" s="56"/>
      <c r="AX107" s="57"/>
      <c r="AY107" s="57"/>
    </row>
    <row r="108" spans="1:58" s="58" customFormat="1" ht="37.15" customHeight="1" x14ac:dyDescent="0.3">
      <c r="A108" s="711" t="s">
        <v>380</v>
      </c>
      <c r="B108" s="711"/>
      <c r="C108" s="711"/>
      <c r="D108" s="711"/>
      <c r="E108" s="711"/>
      <c r="F108" s="711"/>
      <c r="G108" s="711"/>
      <c r="H108" s="711"/>
      <c r="I108" s="711"/>
      <c r="J108" s="711"/>
      <c r="K108" s="711"/>
      <c r="L108" s="711"/>
      <c r="M108" s="711"/>
      <c r="N108" s="711"/>
      <c r="O108" s="711"/>
      <c r="P108" s="711"/>
      <c r="Q108" s="711"/>
      <c r="R108" s="711"/>
      <c r="S108" s="711"/>
      <c r="T108" s="711"/>
      <c r="U108" s="711"/>
      <c r="V108" s="711"/>
      <c r="W108" s="711"/>
      <c r="X108" s="711"/>
      <c r="Y108" s="711"/>
      <c r="Z108" s="711"/>
      <c r="AA108" s="711"/>
      <c r="AB108" s="711"/>
      <c r="AC108" s="711"/>
      <c r="AD108" s="711"/>
      <c r="AE108" s="711"/>
      <c r="AF108" s="711"/>
      <c r="AG108" s="711"/>
      <c r="AH108" s="711"/>
      <c r="AI108" s="711"/>
      <c r="AJ108" s="637"/>
      <c r="AK108" s="637"/>
      <c r="AL108" s="637"/>
      <c r="AM108" s="51"/>
      <c r="AN108" s="59"/>
      <c r="AO108" s="59"/>
      <c r="AP108" s="66"/>
      <c r="AQ108" s="66"/>
      <c r="AR108" s="66"/>
      <c r="AS108" s="66"/>
      <c r="AT108" s="67"/>
      <c r="AU108" s="68"/>
      <c r="AV108" s="68"/>
      <c r="AW108" s="69"/>
      <c r="AX108" s="57"/>
      <c r="AY108" s="57"/>
    </row>
    <row r="109" spans="1:58" s="58" customFormat="1" ht="24.75" customHeight="1" x14ac:dyDescent="0.3">
      <c r="A109" s="712" t="s">
        <v>0</v>
      </c>
      <c r="B109" s="714" t="s">
        <v>31</v>
      </c>
      <c r="C109" s="714" t="s">
        <v>32</v>
      </c>
      <c r="D109" s="719" t="s">
        <v>192</v>
      </c>
      <c r="E109" s="719" t="s">
        <v>191</v>
      </c>
      <c r="F109" s="715" t="s">
        <v>33</v>
      </c>
      <c r="G109" s="717" t="s">
        <v>34</v>
      </c>
      <c r="H109" s="676" t="s">
        <v>35</v>
      </c>
      <c r="I109" s="676"/>
      <c r="J109" s="676" t="s">
        <v>35</v>
      </c>
      <c r="K109" s="676"/>
      <c r="L109" s="680" t="s">
        <v>36</v>
      </c>
      <c r="M109" s="680" t="s">
        <v>37</v>
      </c>
      <c r="N109" s="731" t="s">
        <v>38</v>
      </c>
      <c r="O109" s="732"/>
      <c r="P109" s="733"/>
      <c r="Q109" s="714" t="s">
        <v>39</v>
      </c>
      <c r="R109" s="676" t="s">
        <v>73</v>
      </c>
      <c r="S109" s="676" t="s">
        <v>74</v>
      </c>
      <c r="T109" s="676"/>
      <c r="U109" s="676" t="s">
        <v>75</v>
      </c>
      <c r="V109" s="676"/>
      <c r="W109" s="680" t="s">
        <v>217</v>
      </c>
      <c r="X109" s="735" t="s">
        <v>40</v>
      </c>
      <c r="Y109" s="735"/>
      <c r="Z109" s="627" t="s">
        <v>68</v>
      </c>
      <c r="AA109" s="735" t="s">
        <v>41</v>
      </c>
      <c r="AB109" s="735"/>
      <c r="AC109" s="735" t="s">
        <v>42</v>
      </c>
      <c r="AD109" s="735"/>
      <c r="AE109" s="70" t="s">
        <v>43</v>
      </c>
      <c r="AF109" s="714" t="s">
        <v>44</v>
      </c>
      <c r="AG109" s="680" t="s">
        <v>45</v>
      </c>
      <c r="AH109" s="714" t="s">
        <v>46</v>
      </c>
      <c r="AI109" s="714" t="s">
        <v>47</v>
      </c>
      <c r="AJ109" s="71"/>
      <c r="AK109" s="72"/>
      <c r="AL109" s="72"/>
      <c r="AM109" s="703"/>
      <c r="AN109" s="73"/>
      <c r="AO109" s="704" t="s">
        <v>181</v>
      </c>
      <c r="AP109" s="704"/>
      <c r="AQ109" s="704"/>
      <c r="AR109" s="704"/>
      <c r="AS109" s="704"/>
      <c r="AT109" s="704"/>
      <c r="AU109" s="392" t="e">
        <f>#REF!-#REF!</f>
        <v>#REF!</v>
      </c>
      <c r="AV109" s="392"/>
      <c r="AW109" s="73"/>
      <c r="AX109" s="705"/>
      <c r="AY109" s="705"/>
      <c r="AZ109" s="705"/>
      <c r="BA109" s="634"/>
      <c r="BB109" s="73"/>
      <c r="BC109" s="73"/>
      <c r="BD109" s="73"/>
      <c r="BE109" s="73"/>
    </row>
    <row r="110" spans="1:58" s="58" customFormat="1" ht="60.75" thickBot="1" x14ac:dyDescent="0.35">
      <c r="A110" s="713"/>
      <c r="B110" s="713"/>
      <c r="C110" s="713"/>
      <c r="D110" s="720"/>
      <c r="E110" s="720"/>
      <c r="F110" s="716"/>
      <c r="G110" s="718"/>
      <c r="H110" s="626" t="s">
        <v>48</v>
      </c>
      <c r="I110" s="629" t="s">
        <v>49</v>
      </c>
      <c r="J110" s="626" t="s">
        <v>48</v>
      </c>
      <c r="K110" s="629" t="s">
        <v>50</v>
      </c>
      <c r="L110" s="696"/>
      <c r="M110" s="696"/>
      <c r="N110" s="629" t="s">
        <v>48</v>
      </c>
      <c r="O110" s="74" t="s">
        <v>51</v>
      </c>
      <c r="P110" s="75" t="s">
        <v>52</v>
      </c>
      <c r="Q110" s="713"/>
      <c r="R110" s="676"/>
      <c r="S110" s="631" t="s">
        <v>35</v>
      </c>
      <c r="T110" s="631" t="s">
        <v>76</v>
      </c>
      <c r="U110" s="631" t="s">
        <v>35</v>
      </c>
      <c r="V110" s="631" t="s">
        <v>76</v>
      </c>
      <c r="W110" s="697"/>
      <c r="X110" s="628" t="s">
        <v>69</v>
      </c>
      <c r="Y110" s="628" t="s">
        <v>53</v>
      </c>
      <c r="Z110" s="628" t="s">
        <v>70</v>
      </c>
      <c r="AA110" s="628" t="s">
        <v>54</v>
      </c>
      <c r="AB110" s="628" t="s">
        <v>55</v>
      </c>
      <c r="AC110" s="628" t="s">
        <v>56</v>
      </c>
      <c r="AD110" s="628" t="s">
        <v>57</v>
      </c>
      <c r="AE110" s="628" t="s">
        <v>58</v>
      </c>
      <c r="AF110" s="713"/>
      <c r="AG110" s="697"/>
      <c r="AH110" s="713"/>
      <c r="AI110" s="713"/>
      <c r="AJ110" s="488" t="e">
        <f>#REF!-#REF!</f>
        <v>#REF!</v>
      </c>
      <c r="AK110" s="77"/>
      <c r="AL110" s="77"/>
      <c r="AM110" s="703"/>
      <c r="AN110" s="78"/>
      <c r="AO110" s="79" t="s">
        <v>312</v>
      </c>
      <c r="AP110" s="78"/>
      <c r="AQ110" s="80" t="e">
        <f>#REF!-AH112</f>
        <v>#REF!</v>
      </c>
      <c r="AR110" s="80"/>
      <c r="AS110" s="80"/>
      <c r="AT110" s="78"/>
      <c r="AU110" s="78"/>
      <c r="AV110" s="78"/>
      <c r="AW110" s="78"/>
      <c r="AX110" s="78"/>
      <c r="AY110" s="78"/>
      <c r="AZ110" s="78" t="s">
        <v>253</v>
      </c>
      <c r="BA110" s="78"/>
      <c r="BB110" s="78"/>
      <c r="BC110" s="78"/>
      <c r="BD110" s="78"/>
      <c r="BE110" s="78"/>
    </row>
    <row r="111" spans="1:58" s="58" customFormat="1" ht="16.5" thickTop="1" thickBot="1" x14ac:dyDescent="0.3">
      <c r="A111" s="81" t="s">
        <v>1</v>
      </c>
      <c r="B111" s="81" t="s">
        <v>2</v>
      </c>
      <c r="C111" s="81" t="s">
        <v>59</v>
      </c>
      <c r="D111" s="82">
        <v>1</v>
      </c>
      <c r="E111" s="82">
        <v>2</v>
      </c>
      <c r="F111" s="82">
        <v>3</v>
      </c>
      <c r="G111" s="82">
        <v>4</v>
      </c>
      <c r="H111" s="721">
        <v>5</v>
      </c>
      <c r="I111" s="722"/>
      <c r="J111" s="721">
        <v>6</v>
      </c>
      <c r="K111" s="722"/>
      <c r="L111" s="81">
        <v>7</v>
      </c>
      <c r="M111" s="81">
        <v>8</v>
      </c>
      <c r="N111" s="721">
        <v>9</v>
      </c>
      <c r="O111" s="722"/>
      <c r="P111" s="83">
        <v>10</v>
      </c>
      <c r="Q111" s="81">
        <v>11</v>
      </c>
      <c r="R111" s="83">
        <v>12</v>
      </c>
      <c r="S111" s="723">
        <v>13</v>
      </c>
      <c r="T111" s="724"/>
      <c r="U111" s="721">
        <v>14</v>
      </c>
      <c r="V111" s="722"/>
      <c r="W111" s="635">
        <v>15</v>
      </c>
      <c r="X111" s="635">
        <v>16</v>
      </c>
      <c r="Y111" s="635">
        <v>17</v>
      </c>
      <c r="Z111" s="635">
        <v>18</v>
      </c>
      <c r="AA111" s="635">
        <v>19</v>
      </c>
      <c r="AB111" s="635">
        <v>20</v>
      </c>
      <c r="AC111" s="635">
        <v>21</v>
      </c>
      <c r="AD111" s="635">
        <v>22</v>
      </c>
      <c r="AE111" s="635">
        <v>23</v>
      </c>
      <c r="AF111" s="635">
        <v>24</v>
      </c>
      <c r="AG111" s="635">
        <v>25</v>
      </c>
      <c r="AH111" s="635">
        <v>26</v>
      </c>
      <c r="AI111" s="81" t="s">
        <v>60</v>
      </c>
      <c r="AJ111" s="638"/>
      <c r="AK111" s="340" t="e">
        <f>AJ112-#REF!</f>
        <v>#REF!</v>
      </c>
      <c r="AL111" s="638"/>
      <c r="AM111" s="350">
        <f>AL111-AL112</f>
        <v>0</v>
      </c>
      <c r="AN111" s="85"/>
      <c r="AO111" s="85" t="s">
        <v>252</v>
      </c>
      <c r="AP111" s="85" t="s">
        <v>313</v>
      </c>
      <c r="AQ111" s="85" t="s">
        <v>314</v>
      </c>
      <c r="AR111" s="85" t="s">
        <v>317</v>
      </c>
      <c r="AS111" s="85"/>
      <c r="AT111" s="85" t="s">
        <v>360</v>
      </c>
      <c r="AU111" s="86" t="s">
        <v>315</v>
      </c>
      <c r="AV111" s="393"/>
      <c r="AW111" s="78"/>
      <c r="AX111" s="706" t="s">
        <v>182</v>
      </c>
      <c r="AY111" s="707"/>
      <c r="AZ111" s="707"/>
      <c r="BA111" s="87"/>
      <c r="BB111" s="88"/>
      <c r="BC111" s="88"/>
      <c r="BD111" s="78"/>
      <c r="BE111" s="78"/>
    </row>
    <row r="112" spans="1:58" ht="31.5" customHeight="1" thickBot="1" x14ac:dyDescent="0.35">
      <c r="A112" s="636" t="s">
        <v>61</v>
      </c>
      <c r="B112" s="89" t="s">
        <v>62</v>
      </c>
      <c r="C112" s="90"/>
      <c r="D112" s="91"/>
      <c r="E112" s="92"/>
      <c r="F112" s="93">
        <f>SUM(F113:F113)</f>
        <v>4</v>
      </c>
      <c r="G112" s="93">
        <f>SUM(G113:G113)</f>
        <v>0</v>
      </c>
      <c r="H112" s="93">
        <v>0</v>
      </c>
      <c r="I112" s="94">
        <f>SUM(I113:I113)</f>
        <v>0</v>
      </c>
      <c r="J112" s="636"/>
      <c r="K112" s="94">
        <f>SUM(K113:K113)</f>
        <v>0.4</v>
      </c>
      <c r="L112" s="94">
        <f>SUM(L113:L113)</f>
        <v>4.4000000000000004</v>
      </c>
      <c r="M112" s="95">
        <f>SUM(M113:M113)</f>
        <v>10296000</v>
      </c>
      <c r="N112" s="94"/>
      <c r="O112" s="94">
        <f>SUM(O113:O113)</f>
        <v>2</v>
      </c>
      <c r="P112" s="95">
        <f>SUM(P113:P113)</f>
        <v>4680000</v>
      </c>
      <c r="Q112" s="95">
        <f>SUM(Q113:Q113)</f>
        <v>0</v>
      </c>
      <c r="R112" s="95">
        <f>SUM(R113:R113)</f>
        <v>1170000</v>
      </c>
      <c r="S112" s="93">
        <v>0.5</v>
      </c>
      <c r="T112" s="95">
        <f t="shared" ref="T112:AH112" si="109">SUM(T113:T113)</f>
        <v>0</v>
      </c>
      <c r="U112" s="93">
        <f t="shared" si="109"/>
        <v>0</v>
      </c>
      <c r="V112" s="95">
        <f t="shared" si="109"/>
        <v>0</v>
      </c>
      <c r="W112" s="95">
        <f t="shared" si="109"/>
        <v>0</v>
      </c>
      <c r="X112" s="95">
        <f t="shared" si="109"/>
        <v>1750320</v>
      </c>
      <c r="Y112" s="95">
        <f t="shared" si="109"/>
        <v>823680</v>
      </c>
      <c r="Z112" s="95">
        <f t="shared" si="109"/>
        <v>51480</v>
      </c>
      <c r="AA112" s="95">
        <f t="shared" si="109"/>
        <v>308880</v>
      </c>
      <c r="AB112" s="95">
        <f t="shared" si="109"/>
        <v>154440</v>
      </c>
      <c r="AC112" s="95">
        <f t="shared" si="109"/>
        <v>102960</v>
      </c>
      <c r="AD112" s="95">
        <f t="shared" si="109"/>
        <v>102960</v>
      </c>
      <c r="AE112" s="95">
        <f t="shared" si="109"/>
        <v>205920</v>
      </c>
      <c r="AF112" s="95">
        <f t="shared" si="109"/>
        <v>0</v>
      </c>
      <c r="AG112" s="95">
        <f t="shared" si="109"/>
        <v>0</v>
      </c>
      <c r="AH112" s="95">
        <f t="shared" si="109"/>
        <v>15064920</v>
      </c>
      <c r="AI112" s="95"/>
      <c r="AJ112" s="95">
        <f>SUM(AJ113:AJ113)</f>
        <v>0</v>
      </c>
      <c r="AK112" s="95"/>
      <c r="AL112" s="95"/>
      <c r="AM112" s="96" t="s">
        <v>176</v>
      </c>
      <c r="AN112" s="97">
        <v>6001</v>
      </c>
      <c r="AO112" s="98">
        <f>ROUND(((F112)*2340000)*89.5%,0)-2</f>
        <v>8377198</v>
      </c>
      <c r="AP112" s="98"/>
      <c r="AQ112" s="98"/>
      <c r="AR112" s="98"/>
      <c r="AS112" s="98"/>
      <c r="AT112" s="98"/>
      <c r="AU112" s="99">
        <f>AT112+AR112+AQ112+AP112+AO112</f>
        <v>8377198</v>
      </c>
      <c r="AV112" s="99">
        <f>AR112+AQ112+AP112+AO112</f>
        <v>8377198</v>
      </c>
      <c r="AW112" s="100">
        <v>6001</v>
      </c>
      <c r="AX112" s="101" t="s">
        <v>183</v>
      </c>
      <c r="AY112" s="98">
        <f>ROUND((F112)*2340000,0)</f>
        <v>9360000</v>
      </c>
      <c r="AZ112" s="101"/>
      <c r="BA112" s="102"/>
      <c r="BB112" s="103"/>
      <c r="BC112" s="104"/>
      <c r="BD112" s="105"/>
      <c r="BE112" s="106"/>
      <c r="BF112" s="107"/>
    </row>
    <row r="113" spans="1:58" ht="20.25" customHeight="1" x14ac:dyDescent="0.4">
      <c r="A113" s="108" t="s">
        <v>372</v>
      </c>
      <c r="B113" s="177" t="s">
        <v>369</v>
      </c>
      <c r="C113" s="110" t="s">
        <v>370</v>
      </c>
      <c r="D113" s="123" t="s">
        <v>371</v>
      </c>
      <c r="E113" s="320" t="s">
        <v>334</v>
      </c>
      <c r="F113" s="113">
        <v>4</v>
      </c>
      <c r="G113" s="113"/>
      <c r="H113" s="114"/>
      <c r="I113" s="110"/>
      <c r="J113" s="130">
        <v>10</v>
      </c>
      <c r="K113" s="115">
        <f>ROUND((F113+G113+I113)*J113/100,4)</f>
        <v>0.4</v>
      </c>
      <c r="L113" s="115">
        <f t="shared" ref="L113" si="110">F113+G113+I113+K113</f>
        <v>4.4000000000000004</v>
      </c>
      <c r="M113" s="116">
        <f t="shared" ref="M113" si="111">ROUND(L113*2340000,0)</f>
        <v>10296000</v>
      </c>
      <c r="N113" s="178">
        <v>0.5</v>
      </c>
      <c r="O113" s="397">
        <f t="shared" ref="O113" si="112">(F113+G113+I113)*N113</f>
        <v>2</v>
      </c>
      <c r="P113" s="116">
        <f t="shared" ref="P113" si="113">ROUND(O113*2340000,0)</f>
        <v>4680000</v>
      </c>
      <c r="Q113" s="118"/>
      <c r="R113" s="116">
        <f t="shared" ref="R113" si="114">ROUND(0.5*2340000,0)</f>
        <v>1170000</v>
      </c>
      <c r="S113" s="119"/>
      <c r="T113" s="116">
        <f t="shared" ref="T113" si="115">S113*2340000</f>
        <v>0</v>
      </c>
      <c r="U113" s="119"/>
      <c r="V113" s="120">
        <f t="shared" ref="V113" si="116">U113*2340000</f>
        <v>0</v>
      </c>
      <c r="W113" s="120"/>
      <c r="X113" s="116">
        <f t="shared" ref="X113" si="117">ROUND((L113*2340000*17/100),0)</f>
        <v>1750320</v>
      </c>
      <c r="Y113" s="116">
        <f t="shared" ref="Y113" si="118">ROUND((L113*2340000*8/100),0)</f>
        <v>823680</v>
      </c>
      <c r="Z113" s="116">
        <f t="shared" ref="Z113" si="119">ROUND((L113*2340000*0.5/100),0)</f>
        <v>51480</v>
      </c>
      <c r="AA113" s="116">
        <f t="shared" ref="AA113" si="120">ROUND((L113*2340000*3/100),0)</f>
        <v>308880</v>
      </c>
      <c r="AB113" s="116">
        <f t="shared" ref="AB113" si="121">ROUND((L113*2340000*1.5/100),0)</f>
        <v>154440</v>
      </c>
      <c r="AC113" s="116">
        <f t="shared" ref="AC113" si="122">ROUND((L113*2340000*1/100),0)</f>
        <v>102960</v>
      </c>
      <c r="AD113" s="116">
        <f t="shared" ref="AD113" si="123">ROUND((L113*2340000*1/100),0)</f>
        <v>102960</v>
      </c>
      <c r="AE113" s="116">
        <f t="shared" ref="AE113" si="124">ROUND((L113*2340000*2/100),0)</f>
        <v>205920</v>
      </c>
      <c r="AF113" s="109"/>
      <c r="AG113" s="116"/>
      <c r="AH113" s="116">
        <f>M113-Y113-AB113-AD113+P113+R113+T113+V113+W113</f>
        <v>15064920</v>
      </c>
      <c r="AI113" s="109"/>
      <c r="AJ113" s="335"/>
      <c r="AK113" s="334"/>
      <c r="AL113" s="121"/>
      <c r="AM113" s="173"/>
      <c r="AN113" s="321"/>
      <c r="AO113" s="322"/>
      <c r="AP113" s="322"/>
      <c r="AQ113" s="321"/>
      <c r="AR113" s="321"/>
      <c r="AS113" s="321"/>
      <c r="AT113" s="179"/>
      <c r="AU113" s="180"/>
      <c r="AV113" s="180"/>
      <c r="AW113" s="88"/>
      <c r="AX113" s="181">
        <v>139243480</v>
      </c>
      <c r="AY113" s="323">
        <v>124000</v>
      </c>
      <c r="AZ113" s="182"/>
      <c r="BA113" s="182"/>
      <c r="BB113" s="183"/>
      <c r="BC113" s="88"/>
      <c r="BD113" s="184"/>
      <c r="BE113" s="173"/>
    </row>
    <row r="114" spans="1:58" s="144" customFormat="1" ht="24" customHeight="1" x14ac:dyDescent="0.25">
      <c r="A114" s="727" t="s">
        <v>63</v>
      </c>
      <c r="B114" s="728"/>
      <c r="C114" s="235"/>
      <c r="D114" s="235"/>
      <c r="E114" s="235"/>
      <c r="F114" s="236">
        <f>F112</f>
        <v>4</v>
      </c>
      <c r="G114" s="236">
        <f t="shared" ref="G114:I114" si="125">G112</f>
        <v>0</v>
      </c>
      <c r="H114" s="236">
        <f t="shared" si="125"/>
        <v>0</v>
      </c>
      <c r="I114" s="236">
        <f t="shared" si="125"/>
        <v>0</v>
      </c>
      <c r="J114" s="236"/>
      <c r="K114" s="237">
        <f>K112</f>
        <v>0.4</v>
      </c>
      <c r="L114" s="237">
        <f>L112</f>
        <v>4.4000000000000004</v>
      </c>
      <c r="M114" s="238">
        <f>M112</f>
        <v>10296000</v>
      </c>
      <c r="N114" s="238"/>
      <c r="O114" s="239">
        <f>O112</f>
        <v>2</v>
      </c>
      <c r="P114" s="238">
        <f>P112</f>
        <v>4680000</v>
      </c>
      <c r="Q114" s="238">
        <f t="shared" ref="Q114:R114" si="126">Q112</f>
        <v>0</v>
      </c>
      <c r="R114" s="238">
        <f t="shared" si="126"/>
        <v>1170000</v>
      </c>
      <c r="S114" s="489">
        <f>S112</f>
        <v>0.5</v>
      </c>
      <c r="T114" s="238">
        <f>T112</f>
        <v>0</v>
      </c>
      <c r="U114" s="238">
        <f t="shared" ref="U114:V114" si="127">U112</f>
        <v>0</v>
      </c>
      <c r="V114" s="238">
        <f t="shared" si="127"/>
        <v>0</v>
      </c>
      <c r="W114" s="238">
        <f>W112</f>
        <v>0</v>
      </c>
      <c r="X114" s="238">
        <f>X112</f>
        <v>1750320</v>
      </c>
      <c r="Y114" s="238">
        <f t="shared" ref="Y114:AH114" si="128">Y112</f>
        <v>823680</v>
      </c>
      <c r="Z114" s="238">
        <f t="shared" si="128"/>
        <v>51480</v>
      </c>
      <c r="AA114" s="238">
        <f t="shared" si="128"/>
        <v>308880</v>
      </c>
      <c r="AB114" s="238">
        <f t="shared" si="128"/>
        <v>154440</v>
      </c>
      <c r="AC114" s="238">
        <f t="shared" si="128"/>
        <v>102960</v>
      </c>
      <c r="AD114" s="238">
        <f t="shared" si="128"/>
        <v>102960</v>
      </c>
      <c r="AE114" s="238">
        <f t="shared" si="128"/>
        <v>205920</v>
      </c>
      <c r="AF114" s="238">
        <f t="shared" si="128"/>
        <v>0</v>
      </c>
      <c r="AG114" s="238">
        <f t="shared" si="128"/>
        <v>0</v>
      </c>
      <c r="AH114" s="238">
        <f t="shared" si="128"/>
        <v>15064920</v>
      </c>
      <c r="AI114" s="238"/>
      <c r="AJ114" s="386"/>
      <c r="AK114" s="386"/>
      <c r="AL114" s="240"/>
      <c r="AM114" s="218" t="e">
        <f>AK114-#REF!</f>
        <v>#REF!</v>
      </c>
      <c r="AN114" s="219"/>
      <c r="AO114" s="220"/>
      <c r="AP114" s="221"/>
      <c r="AQ114" s="222"/>
      <c r="AR114" s="222"/>
      <c r="AS114" s="222"/>
      <c r="AT114" s="223"/>
      <c r="AU114" s="219"/>
      <c r="AV114" s="219"/>
      <c r="AW114" s="224"/>
      <c r="AX114" s="233"/>
      <c r="AY114" s="234"/>
      <c r="AZ114" s="227"/>
      <c r="BA114" s="228"/>
      <c r="BB114" s="229"/>
      <c r="BC114" s="230"/>
    </row>
    <row r="115" spans="1:58" ht="21.75" customHeight="1" x14ac:dyDescent="0.3">
      <c r="A115" s="729" t="s">
        <v>379</v>
      </c>
      <c r="B115" s="729"/>
      <c r="C115" s="729"/>
      <c r="D115" s="729"/>
      <c r="E115" s="729"/>
      <c r="F115" s="729"/>
      <c r="G115" s="729"/>
      <c r="H115" s="729"/>
      <c r="I115" s="729"/>
      <c r="J115" s="729"/>
      <c r="K115" s="729"/>
      <c r="L115" s="729"/>
      <c r="M115" s="729"/>
      <c r="N115" s="729"/>
      <c r="O115" s="729"/>
      <c r="P115" s="729"/>
      <c r="Q115" s="729"/>
      <c r="R115" s="729"/>
      <c r="S115" s="729"/>
      <c r="T115" s="729"/>
      <c r="U115" s="729"/>
      <c r="V115" s="729"/>
      <c r="W115" s="729"/>
      <c r="X115" s="729"/>
      <c r="Y115" s="729"/>
      <c r="Z115" s="729"/>
      <c r="AA115" s="729"/>
      <c r="AB115" s="58"/>
      <c r="AC115" s="58"/>
      <c r="AD115" s="58"/>
      <c r="AE115" s="58"/>
      <c r="AF115" s="58"/>
      <c r="AG115" s="58"/>
      <c r="AH115" s="58"/>
      <c r="AI115" s="58"/>
      <c r="AJ115" s="335"/>
      <c r="AK115" s="334"/>
      <c r="AL115" s="58"/>
      <c r="AM115" s="218"/>
      <c r="AN115" s="173"/>
      <c r="AO115" s="173"/>
      <c r="AP115" s="173"/>
      <c r="AQ115" s="173"/>
      <c r="AR115" s="173"/>
      <c r="AS115" s="173"/>
      <c r="AT115" s="173"/>
      <c r="AU115" s="173"/>
      <c r="AV115" s="173"/>
    </row>
    <row r="116" spans="1:58" x14ac:dyDescent="0.3">
      <c r="A116" s="241"/>
      <c r="B116" s="58"/>
      <c r="C116" s="242"/>
      <c r="F116" s="243"/>
      <c r="G116" s="243"/>
      <c r="H116" s="58"/>
      <c r="I116" s="58"/>
      <c r="J116" s="242"/>
      <c r="K116" s="58"/>
      <c r="L116" s="242"/>
      <c r="Q116" s="244"/>
      <c r="R116" s="245"/>
      <c r="S116" s="58"/>
      <c r="T116" s="58"/>
      <c r="U116" s="58"/>
      <c r="V116" s="242"/>
      <c r="W116" s="242"/>
      <c r="X116" s="58"/>
      <c r="Y116" s="58"/>
      <c r="Z116" s="58"/>
      <c r="AA116" s="58"/>
      <c r="AB116" s="58"/>
      <c r="AC116" s="730" t="s">
        <v>373</v>
      </c>
      <c r="AD116" s="730"/>
      <c r="AE116" s="730"/>
      <c r="AF116" s="730"/>
      <c r="AG116" s="730"/>
      <c r="AH116" s="730"/>
      <c r="AI116" s="730"/>
      <c r="AJ116" s="335"/>
      <c r="AK116" s="334"/>
      <c r="AL116" s="632"/>
      <c r="AM116" s="218"/>
      <c r="AN116" s="173"/>
      <c r="AO116" s="173"/>
      <c r="AP116" s="173"/>
      <c r="AQ116" s="173"/>
      <c r="AR116" s="173"/>
      <c r="AS116" s="173"/>
      <c r="AT116" s="173"/>
      <c r="AU116" s="173"/>
      <c r="AV116" s="173"/>
      <c r="BF116" s="144"/>
    </row>
    <row r="117" spans="1:58" x14ac:dyDescent="0.3">
      <c r="A117" s="246"/>
      <c r="B117" s="660" t="s">
        <v>64</v>
      </c>
      <c r="C117" s="660"/>
      <c r="D117" s="660"/>
      <c r="E117" s="660"/>
      <c r="F117" s="660"/>
      <c r="G117" s="660"/>
      <c r="H117" s="660"/>
      <c r="I117" s="190"/>
      <c r="J117" s="625"/>
      <c r="K117" s="190"/>
      <c r="L117" s="247"/>
      <c r="M117" s="247"/>
      <c r="N117" s="247"/>
      <c r="O117" s="247"/>
      <c r="P117" s="247"/>
      <c r="Q117" s="247"/>
      <c r="R117" s="247"/>
      <c r="S117" s="190"/>
      <c r="T117" s="660" t="s">
        <v>23</v>
      </c>
      <c r="U117" s="660"/>
      <c r="V117" s="660"/>
      <c r="W117" s="660"/>
      <c r="X117" s="190"/>
      <c r="Y117" s="660"/>
      <c r="Z117" s="660"/>
      <c r="AA117" s="660"/>
      <c r="AB117" s="660"/>
      <c r="AC117" s="190"/>
      <c r="AD117" s="730" t="s">
        <v>133</v>
      </c>
      <c r="AE117" s="730"/>
      <c r="AF117" s="730"/>
      <c r="AG117" s="730"/>
      <c r="AH117" s="248"/>
      <c r="AI117" s="248"/>
      <c r="AJ117" s="335"/>
      <c r="AK117" s="334"/>
      <c r="AL117" s="248"/>
      <c r="AM117" s="160"/>
      <c r="AN117" s="203"/>
      <c r="AO117" s="173"/>
      <c r="AP117" s="203"/>
      <c r="AQ117" s="203"/>
      <c r="AR117" s="203"/>
      <c r="AS117" s="203"/>
      <c r="AT117" s="203"/>
      <c r="AU117" s="203"/>
      <c r="AV117" s="203"/>
      <c r="AX117" s="144"/>
      <c r="BA117" s="144"/>
      <c r="BB117" s="144"/>
      <c r="BC117" s="144"/>
      <c r="BD117" s="144"/>
      <c r="BE117" s="144"/>
    </row>
    <row r="118" spans="1:58" x14ac:dyDescent="0.3">
      <c r="A118" s="241"/>
      <c r="B118" s="725" t="s">
        <v>66</v>
      </c>
      <c r="C118" s="725"/>
      <c r="D118" s="725"/>
      <c r="E118" s="725"/>
      <c r="F118" s="725"/>
      <c r="G118" s="725"/>
      <c r="H118" s="725"/>
      <c r="K118" s="249"/>
      <c r="L118" s="174"/>
      <c r="M118" s="174"/>
      <c r="N118" s="174"/>
      <c r="O118" s="174"/>
      <c r="P118" s="174"/>
      <c r="Q118" s="250"/>
      <c r="R118" s="250"/>
      <c r="T118" s="725" t="s">
        <v>66</v>
      </c>
      <c r="U118" s="725"/>
      <c r="V118" s="725"/>
      <c r="W118" s="725"/>
      <c r="Y118" s="725"/>
      <c r="Z118" s="725"/>
      <c r="AA118" s="725"/>
      <c r="AB118" s="725"/>
      <c r="AD118" s="734" t="s">
        <v>220</v>
      </c>
      <c r="AE118" s="734"/>
      <c r="AF118" s="734"/>
      <c r="AG118" s="734"/>
      <c r="AH118" s="58"/>
      <c r="AI118" s="58"/>
      <c r="AJ118" s="335"/>
      <c r="AK118" s="334"/>
      <c r="AL118" s="58"/>
      <c r="AM118" s="127">
        <v>588140030</v>
      </c>
      <c r="AW118" s="144"/>
      <c r="AY118" s="144"/>
      <c r="AZ118" s="144"/>
    </row>
    <row r="119" spans="1:58" x14ac:dyDescent="0.3">
      <c r="A119" s="241"/>
      <c r="C119" s="387"/>
      <c r="F119" s="65"/>
      <c r="G119" s="65"/>
      <c r="K119" s="174"/>
      <c r="L119" s="174"/>
      <c r="M119" s="174"/>
      <c r="N119" s="174"/>
      <c r="O119" s="174"/>
      <c r="P119" s="174"/>
      <c r="Q119" s="250"/>
      <c r="R119" s="250"/>
      <c r="V119" s="387"/>
      <c r="W119" s="387"/>
      <c r="AD119" s="251"/>
      <c r="AE119" s="252"/>
      <c r="AF119" s="633"/>
      <c r="AG119" s="633"/>
      <c r="AH119" s="58"/>
      <c r="AI119" s="58"/>
      <c r="AJ119" s="386"/>
      <c r="AK119" s="335"/>
      <c r="AL119" s="58"/>
      <c r="AM119" s="253">
        <v>3138111</v>
      </c>
    </row>
    <row r="120" spans="1:58" x14ac:dyDescent="0.3">
      <c r="A120" s="241"/>
      <c r="B120" s="58"/>
      <c r="C120" s="242"/>
      <c r="F120" s="243"/>
      <c r="G120" s="243"/>
      <c r="H120" s="58"/>
      <c r="I120" s="58"/>
      <c r="J120" s="242"/>
      <c r="K120" s="174"/>
      <c r="L120" s="174"/>
      <c r="M120" s="174"/>
      <c r="N120" s="174"/>
      <c r="O120" s="174"/>
      <c r="P120" s="174"/>
      <c r="Q120" s="250"/>
      <c r="R120" s="250"/>
      <c r="S120" s="58"/>
      <c r="T120" s="58"/>
      <c r="U120" s="58"/>
      <c r="V120" s="242"/>
      <c r="W120" s="242"/>
      <c r="X120" s="58"/>
      <c r="Y120" s="58"/>
      <c r="Z120" s="58"/>
      <c r="AA120" s="58"/>
      <c r="AB120" s="58"/>
      <c r="AC120" s="58"/>
      <c r="AD120" s="251"/>
      <c r="AE120" s="252"/>
      <c r="AF120" s="252"/>
      <c r="AG120" s="252"/>
      <c r="AH120" s="58"/>
      <c r="AI120" s="58"/>
      <c r="AJ120" s="335"/>
      <c r="AK120" s="334"/>
      <c r="AL120" s="58"/>
      <c r="AM120" s="254">
        <f>AM118+AM119</f>
        <v>591278141</v>
      </c>
      <c r="AO120" s="144"/>
    </row>
    <row r="121" spans="1:58" x14ac:dyDescent="0.3">
      <c r="A121" s="241"/>
      <c r="B121" s="58"/>
      <c r="C121" s="242"/>
      <c r="F121" s="243"/>
      <c r="G121" s="243"/>
      <c r="H121" s="58"/>
      <c r="I121" s="58"/>
      <c r="J121" s="242"/>
      <c r="K121" s="174"/>
      <c r="L121" s="174"/>
      <c r="M121" s="174"/>
      <c r="N121" s="174"/>
      <c r="O121" s="174"/>
      <c r="P121" s="174"/>
      <c r="Q121" s="250"/>
      <c r="R121" s="250"/>
      <c r="S121" s="58"/>
      <c r="T121" s="58"/>
      <c r="U121" s="58"/>
      <c r="V121" s="242"/>
      <c r="W121" s="242"/>
      <c r="X121" s="58"/>
      <c r="Y121" s="58"/>
      <c r="Z121" s="58"/>
      <c r="AA121" s="58"/>
      <c r="AB121" s="58"/>
      <c r="AC121" s="58"/>
      <c r="AD121" s="251"/>
      <c r="AE121" s="252"/>
      <c r="AF121" s="252"/>
      <c r="AG121" s="252"/>
      <c r="AH121" s="58"/>
      <c r="AI121" s="58"/>
      <c r="AJ121" s="335"/>
      <c r="AK121" s="334"/>
      <c r="AL121" s="58"/>
      <c r="AM121" s="254"/>
    </row>
    <row r="122" spans="1:58" ht="18.75" customHeight="1" x14ac:dyDescent="0.3">
      <c r="A122" s="246"/>
      <c r="B122" s="684" t="s">
        <v>174</v>
      </c>
      <c r="C122" s="684"/>
      <c r="D122" s="684"/>
      <c r="E122" s="684"/>
      <c r="F122" s="684"/>
      <c r="G122" s="684"/>
      <c r="H122" s="684"/>
      <c r="I122" s="684"/>
      <c r="J122" s="242"/>
      <c r="K122" s="174"/>
      <c r="L122" s="174"/>
      <c r="M122" s="174"/>
      <c r="N122" s="174"/>
      <c r="O122" s="174"/>
      <c r="P122" s="174"/>
      <c r="Q122" s="250"/>
      <c r="R122" s="250"/>
      <c r="S122" s="726" t="s">
        <v>174</v>
      </c>
      <c r="T122" s="726"/>
      <c r="U122" s="726"/>
      <c r="V122" s="726"/>
      <c r="W122" s="726"/>
      <c r="X122" s="58"/>
      <c r="Y122" s="726"/>
      <c r="Z122" s="726"/>
      <c r="AA122" s="726"/>
      <c r="AB122" s="726"/>
      <c r="AC122" s="726"/>
      <c r="AD122" s="730" t="s">
        <v>350</v>
      </c>
      <c r="AE122" s="730"/>
      <c r="AF122" s="730"/>
      <c r="AG122" s="730"/>
      <c r="AH122" s="248"/>
      <c r="AI122" s="248"/>
      <c r="AJ122" s="386"/>
      <c r="AK122" s="335"/>
      <c r="AL122" s="248"/>
    </row>
    <row r="123" spans="1:58" x14ac:dyDescent="0.3">
      <c r="M123" s="174"/>
      <c r="N123" s="174"/>
      <c r="O123" s="387"/>
      <c r="P123" s="387"/>
      <c r="Q123" s="250"/>
      <c r="R123" s="250"/>
      <c r="AD123" s="730"/>
      <c r="AE123" s="730"/>
      <c r="AF123" s="730"/>
      <c r="AG123" s="730"/>
      <c r="AJ123" s="335"/>
      <c r="AK123" s="334"/>
    </row>
    <row r="124" spans="1:58" x14ac:dyDescent="0.3">
      <c r="M124" s="174"/>
      <c r="N124" s="174"/>
      <c r="O124" s="174"/>
      <c r="P124" s="174"/>
      <c r="Q124" s="250"/>
      <c r="R124" s="250"/>
      <c r="AJ124" s="388"/>
      <c r="AK124" s="337"/>
    </row>
    <row r="125" spans="1:58" x14ac:dyDescent="0.3">
      <c r="M125" s="174"/>
      <c r="N125" s="174"/>
      <c r="O125" s="174"/>
      <c r="P125" s="174"/>
      <c r="Q125" s="250"/>
      <c r="R125" s="250"/>
    </row>
    <row r="126" spans="1:58" x14ac:dyDescent="0.3">
      <c r="M126" s="174"/>
      <c r="N126" s="174"/>
      <c r="O126" s="174"/>
      <c r="P126" s="174"/>
      <c r="Q126" s="250"/>
      <c r="R126" s="250"/>
    </row>
    <row r="127" spans="1:58" x14ac:dyDescent="0.3">
      <c r="M127" s="174"/>
      <c r="N127" s="174"/>
      <c r="O127" s="174"/>
      <c r="P127" s="174"/>
      <c r="Q127" s="250"/>
      <c r="R127" s="250"/>
    </row>
    <row r="128" spans="1:58" x14ac:dyDescent="0.3">
      <c r="Q128" s="250"/>
      <c r="R128" s="250"/>
    </row>
  </sheetData>
  <mergeCells count="112">
    <mergeCell ref="AD123:AG123"/>
    <mergeCell ref="B118:H118"/>
    <mergeCell ref="T118:W118"/>
    <mergeCell ref="Y118:AB118"/>
    <mergeCell ref="AD118:AG118"/>
    <mergeCell ref="B122:I122"/>
    <mergeCell ref="S122:W122"/>
    <mergeCell ref="Y122:AC122"/>
    <mergeCell ref="AD122:AG122"/>
    <mergeCell ref="A115:AA115"/>
    <mergeCell ref="AC116:AI116"/>
    <mergeCell ref="B117:H117"/>
    <mergeCell ref="T117:W117"/>
    <mergeCell ref="Y117:AB117"/>
    <mergeCell ref="AD117:AG117"/>
    <mergeCell ref="A114:B114"/>
    <mergeCell ref="AO109:AT109"/>
    <mergeCell ref="AX109:AZ109"/>
    <mergeCell ref="H111:I111"/>
    <mergeCell ref="J111:K111"/>
    <mergeCell ref="N111:O111"/>
    <mergeCell ref="S111:T111"/>
    <mergeCell ref="U111:V111"/>
    <mergeCell ref="AX111:AZ111"/>
    <mergeCell ref="AF109:AF110"/>
    <mergeCell ref="AG109:AG110"/>
    <mergeCell ref="AH109:AH110"/>
    <mergeCell ref="AI109:AI110"/>
    <mergeCell ref="AM109:AM110"/>
    <mergeCell ref="U109:V109"/>
    <mergeCell ref="W109:W110"/>
    <mergeCell ref="X109:Y109"/>
    <mergeCell ref="AA109:AB109"/>
    <mergeCell ref="A109:A110"/>
    <mergeCell ref="B109:B110"/>
    <mergeCell ref="C109:C110"/>
    <mergeCell ref="D109:D110"/>
    <mergeCell ref="E109:E110"/>
    <mergeCell ref="A105:I105"/>
    <mergeCell ref="AF105:AH105"/>
    <mergeCell ref="A106:I106"/>
    <mergeCell ref="C107:I107"/>
    <mergeCell ref="A108:AI108"/>
    <mergeCell ref="AC109:AD109"/>
    <mergeCell ref="M109:M110"/>
    <mergeCell ref="N109:P109"/>
    <mergeCell ref="Q109:Q110"/>
    <mergeCell ref="R109:R110"/>
    <mergeCell ref="S109:T109"/>
    <mergeCell ref="F109:F110"/>
    <mergeCell ref="G109:G110"/>
    <mergeCell ref="H109:I109"/>
    <mergeCell ref="J109:K109"/>
    <mergeCell ref="L109:L110"/>
    <mergeCell ref="AD73:AG73"/>
    <mergeCell ref="AC66:AI66"/>
    <mergeCell ref="AD72:AG72"/>
    <mergeCell ref="N5:P5"/>
    <mergeCell ref="U5:V5"/>
    <mergeCell ref="AD67:AG67"/>
    <mergeCell ref="AD68:AG68"/>
    <mergeCell ref="AC5:AD5"/>
    <mergeCell ref="Y68:AB68"/>
    <mergeCell ref="AA5:AB5"/>
    <mergeCell ref="X5:Y5"/>
    <mergeCell ref="AF5:AF6"/>
    <mergeCell ref="W5:W6"/>
    <mergeCell ref="B67:H67"/>
    <mergeCell ref="B72:I72"/>
    <mergeCell ref="B68:H68"/>
    <mergeCell ref="Y72:AC72"/>
    <mergeCell ref="Y67:AB67"/>
    <mergeCell ref="T67:W67"/>
    <mergeCell ref="T68:W68"/>
    <mergeCell ref="S72:W72"/>
    <mergeCell ref="A64:B64"/>
    <mergeCell ref="A65:AA65"/>
    <mergeCell ref="D5:D6"/>
    <mergeCell ref="E5:E6"/>
    <mergeCell ref="H7:I7"/>
    <mergeCell ref="J7:K7"/>
    <mergeCell ref="N7:O7"/>
    <mergeCell ref="S7:T7"/>
    <mergeCell ref="U7:V7"/>
    <mergeCell ref="J5:K5"/>
    <mergeCell ref="L5:L6"/>
    <mergeCell ref="M5:M6"/>
    <mergeCell ref="R5:R6"/>
    <mergeCell ref="BB23:BE24"/>
    <mergeCell ref="B59:E59"/>
    <mergeCell ref="AM5:AM6"/>
    <mergeCell ref="AO5:AT5"/>
    <mergeCell ref="AX5:AZ5"/>
    <mergeCell ref="AX7:AZ7"/>
    <mergeCell ref="AX29:AX32"/>
    <mergeCell ref="AK15:AL15"/>
    <mergeCell ref="A1:I1"/>
    <mergeCell ref="AF1:AH1"/>
    <mergeCell ref="A2:I2"/>
    <mergeCell ref="A4:AI4"/>
    <mergeCell ref="A5:A6"/>
    <mergeCell ref="B5:B6"/>
    <mergeCell ref="C5:C6"/>
    <mergeCell ref="F5:F6"/>
    <mergeCell ref="G5:G6"/>
    <mergeCell ref="H5:I5"/>
    <mergeCell ref="AG5:AG6"/>
    <mergeCell ref="AH5:AH6"/>
    <mergeCell ref="Q5:Q6"/>
    <mergeCell ref="S5:T5"/>
    <mergeCell ref="AI5:AI6"/>
    <mergeCell ref="C3:I3"/>
  </mergeCells>
  <phoneticPr fontId="18" type="noConversion"/>
  <printOptions horizontalCentered="1"/>
  <pageMargins left="0.24" right="0" top="0.25" bottom="0.2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7"/>
  <sheetViews>
    <sheetView topLeftCell="AC1" workbookViewId="0">
      <selection sqref="A1:XFD1048576"/>
    </sheetView>
  </sheetViews>
  <sheetFormatPr defaultRowHeight="18.75" x14ac:dyDescent="0.3"/>
  <cols>
    <col min="1" max="1" width="2.77734375" style="78" customWidth="1"/>
    <col min="2" max="2" width="10" style="78" customWidth="1"/>
    <col min="3" max="3" width="7.88671875" style="603" customWidth="1"/>
    <col min="4" max="4" width="4.6640625" style="603" customWidth="1"/>
    <col min="5" max="5" width="0.5546875" style="78" hidden="1" customWidth="1"/>
    <col min="6" max="6" width="3.6640625" style="78" customWidth="1"/>
    <col min="7" max="7" width="1" style="78" hidden="1" customWidth="1"/>
    <col min="8" max="8" width="5" style="78" customWidth="1"/>
    <col min="9" max="9" width="3.5546875" style="78" customWidth="1"/>
    <col min="10" max="10" width="4.6640625" style="78" customWidth="1"/>
    <col min="11" max="11" width="4.77734375" style="78" customWidth="1"/>
    <col min="12" max="12" width="4.33203125" style="78" customWidth="1"/>
    <col min="13" max="13" width="4.44140625" style="78" hidden="1" customWidth="1"/>
    <col min="14" max="14" width="3.6640625" style="78" customWidth="1"/>
    <col min="15" max="15" width="7.109375" style="78" hidden="1" customWidth="1"/>
    <col min="16" max="16" width="0.88671875" style="78" hidden="1" customWidth="1"/>
    <col min="17" max="17" width="3.44140625" style="78" customWidth="1"/>
    <col min="18" max="18" width="4.33203125" style="78" customWidth="1"/>
    <col min="19" max="19" width="3.21875" style="78" customWidth="1"/>
    <col min="20" max="20" width="4.5546875" style="78" customWidth="1"/>
    <col min="21" max="21" width="6.21875" style="603" customWidth="1"/>
    <col min="22" max="22" width="4.21875" style="78" customWidth="1"/>
    <col min="23" max="23" width="5.44140625" style="78" hidden="1" customWidth="1"/>
    <col min="24" max="24" width="5" style="78" hidden="1" customWidth="1"/>
    <col min="25" max="25" width="0.109375" style="78" hidden="1" customWidth="1"/>
    <col min="26" max="26" width="7.109375" style="78" hidden="1" customWidth="1"/>
    <col min="27" max="27" width="2.88671875" style="78" customWidth="1"/>
    <col min="28" max="28" width="5.5546875" style="78" customWidth="1"/>
    <col min="29" max="29" width="2.77734375" style="78" customWidth="1"/>
    <col min="30" max="30" width="4.88671875" style="78" customWidth="1"/>
    <col min="31" max="31" width="5.109375" style="78" customWidth="1"/>
    <col min="32" max="32" width="8.6640625" style="603" customWidth="1"/>
    <col min="33" max="33" width="3.21875" style="78" customWidth="1"/>
    <col min="34" max="34" width="1.109375" style="78" hidden="1" customWidth="1"/>
    <col min="35" max="35" width="5.88671875" style="78" customWidth="1"/>
    <col min="36" max="36" width="5.109375" style="78" customWidth="1"/>
    <col min="37" max="37" width="5" style="78" customWidth="1"/>
    <col min="38" max="38" width="5.33203125" style="78" customWidth="1"/>
    <col min="39" max="39" width="7.21875" style="78" customWidth="1"/>
    <col min="40" max="40" width="4.88671875" style="78" customWidth="1"/>
    <col min="41" max="41" width="7.33203125" style="78" customWidth="1"/>
    <col min="42" max="42" width="5.5546875" style="78" customWidth="1"/>
    <col min="43" max="43" width="6.21875" style="78" customWidth="1"/>
    <col min="44" max="44" width="6.109375" style="78" customWidth="1"/>
    <col min="45" max="45" width="5.33203125" style="78" customWidth="1"/>
    <col min="46" max="46" width="6.33203125" style="78" customWidth="1"/>
    <col min="47" max="47" width="5.44140625" style="78" customWidth="1"/>
    <col min="48" max="48" width="6.77734375" style="78" customWidth="1"/>
    <col min="49" max="49" width="7.33203125" style="78" customWidth="1"/>
    <col min="50" max="50" width="6.5546875" style="78" customWidth="1"/>
    <col min="51" max="51" width="5.44140625" style="78" customWidth="1"/>
    <col min="52" max="52" width="11.109375" style="78" customWidth="1"/>
    <col min="53" max="53" width="16.6640625" style="78" customWidth="1"/>
    <col min="54" max="54" width="7.5546875" style="78" customWidth="1"/>
    <col min="55" max="55" width="8.88671875" style="78" customWidth="1"/>
    <col min="56" max="56" width="7.5546875" style="78" customWidth="1"/>
    <col min="57" max="57" width="12.5546875" style="49" customWidth="1"/>
    <col min="58" max="58" width="6.21875" style="49" customWidth="1"/>
    <col min="59" max="59" width="10.109375" style="78" bestFit="1" customWidth="1"/>
    <col min="60" max="16384" width="8.88671875" style="78"/>
  </cols>
  <sheetData>
    <row r="1" spans="1:58" s="521" customFormat="1" x14ac:dyDescent="0.3">
      <c r="A1" s="736" t="s">
        <v>28</v>
      </c>
      <c r="B1" s="736"/>
      <c r="C1" s="736"/>
      <c r="D1" s="736"/>
      <c r="E1" s="736"/>
      <c r="F1" s="736"/>
      <c r="G1" s="736"/>
      <c r="H1" s="736"/>
      <c r="I1" s="736"/>
      <c r="J1" s="736"/>
      <c r="K1" s="520"/>
      <c r="L1" s="520"/>
      <c r="M1" s="520"/>
      <c r="N1" s="520"/>
      <c r="O1" s="520"/>
      <c r="P1" s="520"/>
      <c r="Q1" s="520"/>
      <c r="R1" s="520"/>
      <c r="T1" s="522"/>
      <c r="U1" s="523"/>
      <c r="V1" s="520"/>
      <c r="W1" s="520"/>
      <c r="X1" s="520"/>
      <c r="Y1" s="520"/>
      <c r="Z1" s="520"/>
      <c r="AA1" s="520"/>
      <c r="AB1" s="520"/>
      <c r="AD1" s="522"/>
      <c r="AE1" s="522"/>
      <c r="AF1" s="524"/>
      <c r="AG1" s="522"/>
      <c r="AH1" s="520"/>
      <c r="AI1" s="520"/>
      <c r="AJ1" s="520"/>
      <c r="AK1" s="520"/>
      <c r="AL1" s="520"/>
      <c r="AM1" s="525"/>
      <c r="AN1" s="520"/>
      <c r="AO1" s="526"/>
      <c r="AX1" s="511"/>
      <c r="BE1" s="49"/>
      <c r="BF1" s="58"/>
    </row>
    <row r="2" spans="1:58" s="521" customFormat="1" x14ac:dyDescent="0.3">
      <c r="A2" s="737" t="s">
        <v>30</v>
      </c>
      <c r="B2" s="737"/>
      <c r="C2" s="737"/>
      <c r="D2" s="737"/>
      <c r="E2" s="737"/>
      <c r="F2" s="737"/>
      <c r="G2" s="737"/>
      <c r="H2" s="737"/>
      <c r="I2" s="737"/>
      <c r="J2" s="737"/>
      <c r="K2" s="520"/>
      <c r="L2" s="520"/>
      <c r="M2" s="520"/>
      <c r="N2" s="520"/>
      <c r="O2" s="520"/>
      <c r="P2" s="520"/>
      <c r="Q2" s="520"/>
      <c r="R2" s="520"/>
      <c r="T2" s="522"/>
      <c r="U2" s="523"/>
      <c r="V2" s="520"/>
      <c r="W2" s="520"/>
      <c r="X2" s="520"/>
      <c r="Y2" s="520"/>
      <c r="Z2" s="520"/>
      <c r="AA2" s="520"/>
      <c r="AB2" s="520"/>
      <c r="AD2" s="522"/>
      <c r="AE2" s="522"/>
      <c r="AF2" s="524"/>
      <c r="AG2" s="522"/>
      <c r="AH2" s="520"/>
      <c r="AI2" s="520"/>
      <c r="AJ2" s="520"/>
      <c r="AK2" s="520"/>
      <c r="AL2" s="520"/>
      <c r="AM2" s="525"/>
      <c r="AN2" s="520"/>
      <c r="AO2" s="526"/>
      <c r="BE2" s="49"/>
      <c r="BF2" s="58"/>
    </row>
    <row r="3" spans="1:58" s="528" customFormat="1" ht="63.75" customHeight="1" x14ac:dyDescent="0.3">
      <c r="A3" s="738" t="s">
        <v>388</v>
      </c>
      <c r="B3" s="738"/>
      <c r="C3" s="738"/>
      <c r="D3" s="738"/>
      <c r="E3" s="738"/>
      <c r="F3" s="738"/>
      <c r="G3" s="738"/>
      <c r="H3" s="738"/>
      <c r="I3" s="738"/>
      <c r="J3" s="738"/>
      <c r="K3" s="738"/>
      <c r="L3" s="738"/>
      <c r="M3" s="738"/>
      <c r="N3" s="738"/>
      <c r="O3" s="738"/>
      <c r="P3" s="738"/>
      <c r="Q3" s="738"/>
      <c r="R3" s="738"/>
      <c r="S3" s="738"/>
      <c r="T3" s="738"/>
      <c r="U3" s="738"/>
      <c r="V3" s="738"/>
      <c r="W3" s="738"/>
      <c r="X3" s="738"/>
      <c r="Y3" s="738"/>
      <c r="Z3" s="738"/>
      <c r="AA3" s="738"/>
      <c r="AB3" s="738"/>
      <c r="AC3" s="738"/>
      <c r="AD3" s="738"/>
      <c r="AE3" s="738"/>
      <c r="AF3" s="738"/>
      <c r="AG3" s="738"/>
      <c r="AH3" s="738"/>
      <c r="AI3" s="738"/>
      <c r="AJ3" s="738"/>
      <c r="AK3" s="738"/>
      <c r="AL3" s="738"/>
      <c r="AM3" s="738"/>
      <c r="AN3" s="738"/>
      <c r="AO3" s="738"/>
      <c r="AP3" s="738"/>
      <c r="AQ3" s="738"/>
      <c r="AR3" s="738"/>
      <c r="AS3" s="738"/>
      <c r="AT3" s="738"/>
      <c r="AU3" s="738"/>
      <c r="AV3" s="738"/>
      <c r="AW3" s="738"/>
      <c r="AX3" s="738"/>
      <c r="AY3" s="738"/>
      <c r="AZ3" s="527"/>
      <c r="BA3" s="527"/>
      <c r="BB3" s="527" t="s">
        <v>389</v>
      </c>
      <c r="BC3" s="527"/>
      <c r="BD3" s="527"/>
      <c r="BE3" s="49"/>
      <c r="BF3" s="58"/>
    </row>
    <row r="4" spans="1:58" s="531" customFormat="1" ht="20.25" customHeight="1" x14ac:dyDescent="0.3">
      <c r="A4" s="739" t="s">
        <v>390</v>
      </c>
      <c r="B4" s="739" t="s">
        <v>31</v>
      </c>
      <c r="C4" s="741" t="s">
        <v>32</v>
      </c>
      <c r="D4" s="742" t="s">
        <v>391</v>
      </c>
      <c r="E4" s="743"/>
      <c r="F4" s="743"/>
      <c r="G4" s="743"/>
      <c r="H4" s="743"/>
      <c r="I4" s="743"/>
      <c r="J4" s="743"/>
      <c r="K4" s="744"/>
      <c r="L4" s="742" t="s">
        <v>392</v>
      </c>
      <c r="M4" s="743"/>
      <c r="N4" s="743"/>
      <c r="O4" s="743"/>
      <c r="P4" s="743"/>
      <c r="Q4" s="743"/>
      <c r="R4" s="743"/>
      <c r="S4" s="743"/>
      <c r="T4" s="743"/>
      <c r="U4" s="744"/>
      <c r="V4" s="745" t="s">
        <v>393</v>
      </c>
      <c r="W4" s="746"/>
      <c r="X4" s="746"/>
      <c r="Y4" s="746"/>
      <c r="Z4" s="746"/>
      <c r="AA4" s="746"/>
      <c r="AB4" s="746"/>
      <c r="AC4" s="746"/>
      <c r="AD4" s="746"/>
      <c r="AE4" s="747"/>
      <c r="AF4" s="748" t="s">
        <v>394</v>
      </c>
      <c r="AG4" s="752" t="s">
        <v>395</v>
      </c>
      <c r="AH4" s="756" t="s">
        <v>396</v>
      </c>
      <c r="AI4" s="757" t="s">
        <v>397</v>
      </c>
      <c r="AJ4" s="757" t="s">
        <v>398</v>
      </c>
      <c r="AK4" s="757" t="s">
        <v>399</v>
      </c>
      <c r="AL4" s="754" t="s">
        <v>400</v>
      </c>
      <c r="AM4" s="741" t="s">
        <v>401</v>
      </c>
      <c r="AN4" s="754" t="s">
        <v>396</v>
      </c>
      <c r="AO4" s="755" t="s">
        <v>52</v>
      </c>
      <c r="AP4" s="741" t="s">
        <v>402</v>
      </c>
      <c r="AQ4" s="751" t="s">
        <v>40</v>
      </c>
      <c r="AR4" s="751"/>
      <c r="AS4" s="751" t="s">
        <v>41</v>
      </c>
      <c r="AT4" s="751"/>
      <c r="AU4" s="751" t="s">
        <v>42</v>
      </c>
      <c r="AV4" s="751"/>
      <c r="AW4" s="751" t="s">
        <v>43</v>
      </c>
      <c r="AX4" s="741" t="s">
        <v>46</v>
      </c>
      <c r="AY4" s="741" t="s">
        <v>47</v>
      </c>
      <c r="AZ4" s="529"/>
      <c r="BA4" s="529"/>
      <c r="BB4" s="530"/>
      <c r="BC4" s="530"/>
      <c r="BD4" s="530"/>
      <c r="BE4" s="516"/>
      <c r="BF4" s="58"/>
    </row>
    <row r="5" spans="1:58" s="536" customFormat="1" ht="25.5" customHeight="1" x14ac:dyDescent="0.2">
      <c r="A5" s="740"/>
      <c r="B5" s="739"/>
      <c r="C5" s="741"/>
      <c r="D5" s="752" t="s">
        <v>33</v>
      </c>
      <c r="E5" s="752" t="s">
        <v>34</v>
      </c>
      <c r="F5" s="752" t="s">
        <v>34</v>
      </c>
      <c r="G5" s="742" t="s">
        <v>35</v>
      </c>
      <c r="H5" s="744"/>
      <c r="I5" s="752" t="s">
        <v>35</v>
      </c>
      <c r="J5" s="752"/>
      <c r="K5" s="752" t="s">
        <v>403</v>
      </c>
      <c r="L5" s="752" t="s">
        <v>33</v>
      </c>
      <c r="M5" s="752" t="s">
        <v>34</v>
      </c>
      <c r="N5" s="752" t="s">
        <v>34</v>
      </c>
      <c r="O5" s="752" t="s">
        <v>35</v>
      </c>
      <c r="P5" s="752"/>
      <c r="Q5" s="752" t="s">
        <v>35</v>
      </c>
      <c r="R5" s="752"/>
      <c r="S5" s="752" t="s">
        <v>35</v>
      </c>
      <c r="T5" s="752"/>
      <c r="U5" s="752" t="s">
        <v>403</v>
      </c>
      <c r="V5" s="752" t="s">
        <v>33</v>
      </c>
      <c r="W5" s="758" t="s">
        <v>34</v>
      </c>
      <c r="X5" s="752" t="s">
        <v>34</v>
      </c>
      <c r="Y5" s="752" t="s">
        <v>35</v>
      </c>
      <c r="Z5" s="752"/>
      <c r="AA5" s="532"/>
      <c r="AB5" s="532"/>
      <c r="AC5" s="533" t="s">
        <v>35</v>
      </c>
      <c r="AD5" s="533"/>
      <c r="AE5" s="533"/>
      <c r="AF5" s="749"/>
      <c r="AG5" s="752"/>
      <c r="AH5" s="756"/>
      <c r="AI5" s="757"/>
      <c r="AJ5" s="757"/>
      <c r="AK5" s="757"/>
      <c r="AL5" s="754"/>
      <c r="AM5" s="741"/>
      <c r="AN5" s="754"/>
      <c r="AO5" s="755"/>
      <c r="AP5" s="741"/>
      <c r="AQ5" s="751"/>
      <c r="AR5" s="751"/>
      <c r="AS5" s="751"/>
      <c r="AT5" s="751"/>
      <c r="AU5" s="751"/>
      <c r="AV5" s="751"/>
      <c r="AW5" s="751"/>
      <c r="AX5" s="741"/>
      <c r="AY5" s="741"/>
      <c r="AZ5" s="534"/>
      <c r="BA5" s="534"/>
      <c r="BB5" s="535"/>
      <c r="BC5" s="535"/>
      <c r="BD5" s="535"/>
      <c r="BE5" s="507"/>
      <c r="BF5" s="58"/>
    </row>
    <row r="6" spans="1:58" s="543" customFormat="1" ht="90.75" customHeight="1" x14ac:dyDescent="0.2">
      <c r="A6" s="740"/>
      <c r="B6" s="739"/>
      <c r="C6" s="741"/>
      <c r="D6" s="753"/>
      <c r="E6" s="753"/>
      <c r="F6" s="753"/>
      <c r="G6" s="537" t="s">
        <v>48</v>
      </c>
      <c r="H6" s="538" t="s">
        <v>404</v>
      </c>
      <c r="I6" s="537" t="s">
        <v>48</v>
      </c>
      <c r="J6" s="538" t="s">
        <v>405</v>
      </c>
      <c r="K6" s="753"/>
      <c r="L6" s="753"/>
      <c r="M6" s="753"/>
      <c r="N6" s="753"/>
      <c r="O6" s="537" t="s">
        <v>48</v>
      </c>
      <c r="P6" s="538" t="s">
        <v>49</v>
      </c>
      <c r="Q6" s="537" t="s">
        <v>48</v>
      </c>
      <c r="R6" s="538" t="s">
        <v>49</v>
      </c>
      <c r="S6" s="537" t="s">
        <v>48</v>
      </c>
      <c r="T6" s="538" t="s">
        <v>50</v>
      </c>
      <c r="U6" s="753"/>
      <c r="V6" s="753"/>
      <c r="W6" s="759"/>
      <c r="X6" s="753"/>
      <c r="Y6" s="537" t="s">
        <v>48</v>
      </c>
      <c r="Z6" s="538" t="s">
        <v>49</v>
      </c>
      <c r="AA6" s="539" t="s">
        <v>48</v>
      </c>
      <c r="AB6" s="540" t="s">
        <v>406</v>
      </c>
      <c r="AC6" s="539" t="s">
        <v>48</v>
      </c>
      <c r="AD6" s="540" t="s">
        <v>50</v>
      </c>
      <c r="AE6" s="541" t="s">
        <v>403</v>
      </c>
      <c r="AF6" s="750"/>
      <c r="AG6" s="752"/>
      <c r="AH6" s="756"/>
      <c r="AI6" s="757"/>
      <c r="AJ6" s="757"/>
      <c r="AK6" s="757"/>
      <c r="AL6" s="754"/>
      <c r="AM6" s="741"/>
      <c r="AN6" s="754"/>
      <c r="AO6" s="755"/>
      <c r="AP6" s="741"/>
      <c r="AQ6" s="532" t="s">
        <v>69</v>
      </c>
      <c r="AR6" s="532" t="s">
        <v>53</v>
      </c>
      <c r="AS6" s="532" t="s">
        <v>54</v>
      </c>
      <c r="AT6" s="532" t="s">
        <v>55</v>
      </c>
      <c r="AU6" s="532" t="s">
        <v>56</v>
      </c>
      <c r="AV6" s="532" t="s">
        <v>57</v>
      </c>
      <c r="AW6" s="532" t="s">
        <v>58</v>
      </c>
      <c r="AX6" s="741"/>
      <c r="AY6" s="741"/>
      <c r="AZ6" s="534"/>
      <c r="BA6" s="534"/>
      <c r="BB6" s="535"/>
      <c r="BC6" s="535"/>
      <c r="BD6" s="535"/>
      <c r="BE6" s="504"/>
      <c r="BF6" s="542"/>
    </row>
    <row r="7" spans="1:58" s="547" customFormat="1" ht="11.25" customHeight="1" x14ac:dyDescent="0.2">
      <c r="A7" s="544" t="s">
        <v>1</v>
      </c>
      <c r="B7" s="544" t="s">
        <v>2</v>
      </c>
      <c r="C7" s="544" t="s">
        <v>59</v>
      </c>
      <c r="D7" s="544">
        <v>1</v>
      </c>
      <c r="E7" s="544">
        <v>2</v>
      </c>
      <c r="F7" s="544">
        <v>2</v>
      </c>
      <c r="G7" s="765">
        <v>3</v>
      </c>
      <c r="H7" s="766"/>
      <c r="I7" s="761">
        <v>3</v>
      </c>
      <c r="J7" s="761"/>
      <c r="K7" s="544">
        <v>4</v>
      </c>
      <c r="L7" s="544">
        <v>5</v>
      </c>
      <c r="M7" s="544">
        <v>2</v>
      </c>
      <c r="N7" s="544">
        <v>6</v>
      </c>
      <c r="O7" s="761">
        <v>3</v>
      </c>
      <c r="P7" s="761"/>
      <c r="Q7" s="544"/>
      <c r="R7" s="544"/>
      <c r="S7" s="761">
        <v>7</v>
      </c>
      <c r="T7" s="761"/>
      <c r="U7" s="544">
        <v>8</v>
      </c>
      <c r="V7" s="544">
        <v>9</v>
      </c>
      <c r="W7" s="544">
        <v>2</v>
      </c>
      <c r="X7" s="544"/>
      <c r="Y7" s="761">
        <v>3</v>
      </c>
      <c r="Z7" s="761"/>
      <c r="AA7" s="544"/>
      <c r="AB7" s="544"/>
      <c r="AC7" s="761">
        <v>10</v>
      </c>
      <c r="AD7" s="761"/>
      <c r="AE7" s="545">
        <v>11</v>
      </c>
      <c r="AF7" s="544">
        <v>12</v>
      </c>
      <c r="AG7" s="545">
        <v>13</v>
      </c>
      <c r="AH7" s="544">
        <v>14</v>
      </c>
      <c r="AI7" s="545">
        <v>15</v>
      </c>
      <c r="AJ7" s="544">
        <v>16</v>
      </c>
      <c r="AK7" s="544"/>
      <c r="AL7" s="545">
        <v>17</v>
      </c>
      <c r="AM7" s="544">
        <v>18</v>
      </c>
      <c r="AN7" s="545">
        <v>19</v>
      </c>
      <c r="AO7" s="544">
        <v>20</v>
      </c>
      <c r="AP7" s="545">
        <v>21</v>
      </c>
      <c r="AQ7" s="544">
        <v>22</v>
      </c>
      <c r="AR7" s="545">
        <v>23</v>
      </c>
      <c r="AS7" s="544">
        <v>24</v>
      </c>
      <c r="AT7" s="545">
        <v>25</v>
      </c>
      <c r="AU7" s="544">
        <v>26</v>
      </c>
      <c r="AV7" s="545">
        <v>27</v>
      </c>
      <c r="AW7" s="544">
        <v>28</v>
      </c>
      <c r="AX7" s="544">
        <v>32</v>
      </c>
      <c r="AY7" s="544" t="s">
        <v>60</v>
      </c>
      <c r="AZ7" s="546"/>
      <c r="BA7" s="546"/>
      <c r="BB7" s="546"/>
      <c r="BC7" s="546"/>
      <c r="BD7" s="546"/>
      <c r="BE7" s="396"/>
      <c r="BF7" s="58"/>
    </row>
    <row r="8" spans="1:58" s="558" customFormat="1" ht="20.25" customHeight="1" x14ac:dyDescent="0.3">
      <c r="A8" s="548" t="s">
        <v>61</v>
      </c>
      <c r="B8" s="549" t="s">
        <v>62</v>
      </c>
      <c r="C8" s="549"/>
      <c r="D8" s="550"/>
      <c r="E8" s="550"/>
      <c r="F8" s="550"/>
      <c r="G8" s="549"/>
      <c r="H8" s="551"/>
      <c r="I8" s="549"/>
      <c r="J8" s="552"/>
      <c r="K8" s="552"/>
      <c r="L8" s="553"/>
      <c r="M8" s="552"/>
      <c r="N8" s="552"/>
      <c r="O8" s="552"/>
      <c r="P8" s="552"/>
      <c r="Q8" s="552"/>
      <c r="R8" s="552"/>
      <c r="S8" s="549"/>
      <c r="T8" s="552"/>
      <c r="U8" s="552"/>
      <c r="V8" s="550"/>
      <c r="W8" s="549"/>
      <c r="X8" s="550"/>
      <c r="Y8" s="549"/>
      <c r="Z8" s="551"/>
      <c r="AA8" s="551"/>
      <c r="AB8" s="551"/>
      <c r="AC8" s="549"/>
      <c r="AD8" s="552"/>
      <c r="AE8" s="552"/>
      <c r="AF8" s="552"/>
      <c r="AG8" s="552"/>
      <c r="AH8" s="554"/>
      <c r="AI8" s="554"/>
      <c r="AJ8" s="554"/>
      <c r="AK8" s="554"/>
      <c r="AL8" s="554"/>
      <c r="AM8" s="555"/>
      <c r="AN8" s="554"/>
      <c r="AO8" s="555"/>
      <c r="AP8" s="555"/>
      <c r="AQ8" s="555"/>
      <c r="AR8" s="555"/>
      <c r="AS8" s="555"/>
      <c r="AT8" s="555"/>
      <c r="AU8" s="555"/>
      <c r="AV8" s="555"/>
      <c r="AW8" s="555"/>
      <c r="AX8" s="555"/>
      <c r="AY8" s="555"/>
      <c r="AZ8" s="556"/>
      <c r="BA8" s="556"/>
      <c r="BB8" s="556"/>
      <c r="BC8" s="556"/>
      <c r="BD8" s="556"/>
      <c r="BE8" s="557"/>
      <c r="BF8" s="107"/>
    </row>
    <row r="9" spans="1:58" s="575" customFormat="1" ht="17.25" customHeight="1" x14ac:dyDescent="0.25">
      <c r="A9" s="559">
        <v>1</v>
      </c>
      <c r="B9" s="334" t="s">
        <v>407</v>
      </c>
      <c r="C9" s="334" t="s">
        <v>347</v>
      </c>
      <c r="D9" s="560">
        <v>4.6500000000000004</v>
      </c>
      <c r="E9" s="561"/>
      <c r="F9" s="561"/>
      <c r="G9" s="562"/>
      <c r="H9" s="563"/>
      <c r="I9" s="564">
        <v>0.25</v>
      </c>
      <c r="J9" s="565">
        <f>ROUND((D9+F9)*I9,4)</f>
        <v>1.1625000000000001</v>
      </c>
      <c r="K9" s="566">
        <f>ROUND((D9+F9)*0.5,4)</f>
        <v>2.3250000000000002</v>
      </c>
      <c r="L9" s="560">
        <v>4.68</v>
      </c>
      <c r="M9" s="561"/>
      <c r="N9" s="561"/>
      <c r="O9" s="562"/>
      <c r="P9" s="563"/>
      <c r="Q9" s="564"/>
      <c r="R9" s="563"/>
      <c r="S9" s="564">
        <v>0.25</v>
      </c>
      <c r="T9" s="565">
        <f>ROUND((L9+N9)*S9,4)</f>
        <v>1.17</v>
      </c>
      <c r="U9" s="566">
        <f>ROUND((L9+N9+R9)*0.5,4)</f>
        <v>2.34</v>
      </c>
      <c r="V9" s="561">
        <f t="shared" ref="V9:V10" si="0">L9-D9</f>
        <v>2.9999999999999361E-2</v>
      </c>
      <c r="W9" s="561"/>
      <c r="X9" s="561"/>
      <c r="Y9" s="562"/>
      <c r="Z9" s="563"/>
      <c r="AA9" s="563"/>
      <c r="AB9" s="563"/>
      <c r="AC9" s="564"/>
      <c r="AD9" s="565">
        <f t="shared" ref="AD9:AD10" si="1">ROUND((T9-J9),4)</f>
        <v>7.4999999999999997E-3</v>
      </c>
      <c r="AE9" s="565">
        <f t="shared" ref="AE9:AE10" si="2">U9-K9</f>
        <v>1.499999999999968E-2</v>
      </c>
      <c r="AF9" s="565" t="s">
        <v>408</v>
      </c>
      <c r="AG9" s="567">
        <v>2</v>
      </c>
      <c r="AH9" s="565"/>
      <c r="AI9" s="565">
        <f t="shared" ref="AI9:AI10" si="3">(V9+AB9)*AG9</f>
        <v>5.9999999999998721E-2</v>
      </c>
      <c r="AJ9" s="565">
        <f t="shared" ref="AJ9:AJ10" si="4">(AD9)*AG9</f>
        <v>1.4999999999999999E-2</v>
      </c>
      <c r="AK9" s="568">
        <f t="shared" ref="AK9:AK10" si="5">AB9*AG9</f>
        <v>0</v>
      </c>
      <c r="AL9" s="565">
        <f t="shared" ref="AL9:AL10" si="6">AI9+AJ9+AK9</f>
        <v>7.499999999999872E-2</v>
      </c>
      <c r="AM9" s="569">
        <f t="shared" ref="AM9:AM10" si="7">ROUND(AL9*1800000,0)</f>
        <v>135000</v>
      </c>
      <c r="AN9" s="570">
        <f t="shared" ref="AN9:AN10" si="8">ROUND(AE9*AG9,4)</f>
        <v>0.03</v>
      </c>
      <c r="AO9" s="569">
        <f t="shared" ref="AO9:AO10" si="9">ROUND((AN9*1800000),0)</f>
        <v>54000</v>
      </c>
      <c r="AP9" s="571">
        <f t="shared" ref="AP9:AP10" si="10">ROUND((AM9*0.5/100),0)</f>
        <v>675</v>
      </c>
      <c r="AQ9" s="571">
        <f t="shared" ref="AQ9:AQ10" si="11">ROUND((AM9*17/100),0)</f>
        <v>22950</v>
      </c>
      <c r="AR9" s="571">
        <f t="shared" ref="AR9:AR10" si="12">ROUND((AM9*8/100),0)</f>
        <v>10800</v>
      </c>
      <c r="AS9" s="571">
        <f t="shared" ref="AS9:AS10" si="13">ROUND((AM9*3/100),0)</f>
        <v>4050</v>
      </c>
      <c r="AT9" s="571">
        <f t="shared" ref="AT9:AT10" si="14">ROUND((AM9*1.5/100),0)</f>
        <v>2025</v>
      </c>
      <c r="AU9" s="571">
        <f t="shared" ref="AU9:AU10" si="15">ROUND((AM9/100),0)</f>
        <v>1350</v>
      </c>
      <c r="AV9" s="571">
        <f t="shared" ref="AV9:AV10" si="16">ROUND((AM9/100),0)</f>
        <v>1350</v>
      </c>
      <c r="AW9" s="571">
        <f t="shared" ref="AW9:AW10" si="17">AM9*2/100</f>
        <v>2700</v>
      </c>
      <c r="AX9" s="571">
        <f t="shared" ref="AX9:AX10" si="18">ROUND((AM9+AO9-AR9-AT9-AV9),0)</f>
        <v>174825</v>
      </c>
      <c r="AY9" s="572"/>
      <c r="AZ9" s="335">
        <f>AX9/AG9</f>
        <v>87412.5</v>
      </c>
      <c r="BA9" s="334" t="s">
        <v>24</v>
      </c>
      <c r="BB9" s="335">
        <f t="shared" ref="BB9:BB10" si="19">AX9/5</f>
        <v>34965</v>
      </c>
      <c r="BC9" s="335"/>
      <c r="BD9" s="335"/>
      <c r="BE9" s="573"/>
      <c r="BF9" s="574"/>
    </row>
    <row r="10" spans="1:58" s="575" customFormat="1" ht="17.25" customHeight="1" x14ac:dyDescent="0.25">
      <c r="A10" s="559">
        <v>2</v>
      </c>
      <c r="B10" s="334" t="s">
        <v>407</v>
      </c>
      <c r="C10" s="334" t="s">
        <v>347</v>
      </c>
      <c r="D10" s="560">
        <v>4.6500000000000004</v>
      </c>
      <c r="E10" s="561"/>
      <c r="F10" s="561"/>
      <c r="G10" s="562"/>
      <c r="H10" s="563"/>
      <c r="I10" s="564">
        <v>0.26</v>
      </c>
      <c r="J10" s="565">
        <f>ROUND((D10+F10)*I10,4)</f>
        <v>1.2090000000000001</v>
      </c>
      <c r="K10" s="566">
        <f>ROUND((D10+F10)*0.5,4)</f>
        <v>2.3250000000000002</v>
      </c>
      <c r="L10" s="560">
        <v>4.68</v>
      </c>
      <c r="M10" s="561"/>
      <c r="N10" s="561"/>
      <c r="O10" s="562"/>
      <c r="P10" s="563"/>
      <c r="Q10" s="564"/>
      <c r="R10" s="563"/>
      <c r="S10" s="564">
        <v>0.26</v>
      </c>
      <c r="T10" s="565">
        <f>ROUND((L10+N10)*S10,4)</f>
        <v>1.2168000000000001</v>
      </c>
      <c r="U10" s="566">
        <f>ROUND((L10+N10+R10)*0.5,4)</f>
        <v>2.34</v>
      </c>
      <c r="V10" s="561">
        <f t="shared" si="0"/>
        <v>2.9999999999999361E-2</v>
      </c>
      <c r="W10" s="561"/>
      <c r="X10" s="561"/>
      <c r="Y10" s="562"/>
      <c r="Z10" s="563"/>
      <c r="AA10" s="563"/>
      <c r="AB10" s="563"/>
      <c r="AC10" s="564"/>
      <c r="AD10" s="565">
        <f t="shared" si="1"/>
        <v>7.7999999999999996E-3</v>
      </c>
      <c r="AE10" s="565">
        <f t="shared" si="2"/>
        <v>1.499999999999968E-2</v>
      </c>
      <c r="AF10" s="565" t="s">
        <v>409</v>
      </c>
      <c r="AG10" s="567">
        <v>3</v>
      </c>
      <c r="AH10" s="565"/>
      <c r="AI10" s="565">
        <f t="shared" si="3"/>
        <v>8.9999999999998082E-2</v>
      </c>
      <c r="AJ10" s="565">
        <f t="shared" si="4"/>
        <v>2.3399999999999997E-2</v>
      </c>
      <c r="AK10" s="568">
        <f t="shared" si="5"/>
        <v>0</v>
      </c>
      <c r="AL10" s="565">
        <f t="shared" si="6"/>
        <v>0.11339999999999809</v>
      </c>
      <c r="AM10" s="569">
        <f t="shared" si="7"/>
        <v>204120</v>
      </c>
      <c r="AN10" s="570">
        <f t="shared" si="8"/>
        <v>4.4999999999999998E-2</v>
      </c>
      <c r="AO10" s="569">
        <f t="shared" si="9"/>
        <v>81000</v>
      </c>
      <c r="AP10" s="571">
        <f t="shared" si="10"/>
        <v>1021</v>
      </c>
      <c r="AQ10" s="571">
        <f t="shared" si="11"/>
        <v>34700</v>
      </c>
      <c r="AR10" s="571">
        <f t="shared" si="12"/>
        <v>16330</v>
      </c>
      <c r="AS10" s="571">
        <f t="shared" si="13"/>
        <v>6124</v>
      </c>
      <c r="AT10" s="571">
        <f t="shared" si="14"/>
        <v>3062</v>
      </c>
      <c r="AU10" s="571">
        <f t="shared" si="15"/>
        <v>2041</v>
      </c>
      <c r="AV10" s="571">
        <f t="shared" si="16"/>
        <v>2041</v>
      </c>
      <c r="AW10" s="571">
        <f t="shared" si="17"/>
        <v>4082.4</v>
      </c>
      <c r="AX10" s="571">
        <f t="shared" si="18"/>
        <v>263687</v>
      </c>
      <c r="AY10" s="572"/>
      <c r="AZ10" s="386"/>
      <c r="BA10" s="335" t="e">
        <f>#REF!-'[1]tinh lai tlinh dung  '!AZ11</f>
        <v>#REF!</v>
      </c>
      <c r="BB10" s="335">
        <f t="shared" si="19"/>
        <v>52737.4</v>
      </c>
      <c r="BC10" s="335"/>
      <c r="BD10" s="335">
        <f t="shared" ref="BD10" si="20">AX10/AG10</f>
        <v>87895.666666666672</v>
      </c>
      <c r="BE10" s="573"/>
      <c r="BF10" s="574"/>
    </row>
    <row r="11" spans="1:58" s="558" customFormat="1" ht="17.25" customHeight="1" x14ac:dyDescent="0.2">
      <c r="A11" s="762" t="s">
        <v>63</v>
      </c>
      <c r="B11" s="762"/>
      <c r="C11" s="549"/>
      <c r="D11" s="576">
        <f>SUM(D9:D10)</f>
        <v>9.3000000000000007</v>
      </c>
      <c r="E11" s="576">
        <f>SUM(E9:E10)</f>
        <v>0</v>
      </c>
      <c r="F11" s="576">
        <f>SUM(F9:F10)</f>
        <v>0</v>
      </c>
      <c r="G11" s="576">
        <f>SUM(G9:G10)</f>
        <v>0</v>
      </c>
      <c r="H11" s="576"/>
      <c r="I11" s="576"/>
      <c r="J11" s="577">
        <f t="shared" ref="J11:P11" si="21">SUM(J9:J10)</f>
        <v>2.3715000000000002</v>
      </c>
      <c r="K11" s="577">
        <f t="shared" si="21"/>
        <v>4.6500000000000004</v>
      </c>
      <c r="L11" s="576">
        <f t="shared" si="21"/>
        <v>9.36</v>
      </c>
      <c r="M11" s="576">
        <f t="shared" si="21"/>
        <v>0</v>
      </c>
      <c r="N11" s="576">
        <f t="shared" si="21"/>
        <v>0</v>
      </c>
      <c r="O11" s="576">
        <f t="shared" si="21"/>
        <v>0</v>
      </c>
      <c r="P11" s="576">
        <f t="shared" si="21"/>
        <v>0</v>
      </c>
      <c r="Q11" s="576"/>
      <c r="R11" s="576"/>
      <c r="S11" s="576"/>
      <c r="T11" s="577">
        <f t="shared" ref="T11:Z11" si="22">SUM(T9:T10)</f>
        <v>2.3868</v>
      </c>
      <c r="U11" s="577">
        <f t="shared" si="22"/>
        <v>4.68</v>
      </c>
      <c r="V11" s="578">
        <f t="shared" si="22"/>
        <v>5.9999999999998721E-2</v>
      </c>
      <c r="W11" s="579">
        <f t="shared" si="22"/>
        <v>0</v>
      </c>
      <c r="X11" s="579">
        <f t="shared" si="22"/>
        <v>0</v>
      </c>
      <c r="Y11" s="579">
        <f t="shared" si="22"/>
        <v>0</v>
      </c>
      <c r="Z11" s="579">
        <f t="shared" si="22"/>
        <v>0</v>
      </c>
      <c r="AA11" s="579"/>
      <c r="AB11" s="579"/>
      <c r="AC11" s="579"/>
      <c r="AD11" s="579">
        <f>SUM(AD9:AD10)</f>
        <v>1.5299999999999999E-2</v>
      </c>
      <c r="AE11" s="579">
        <f>SUM(AE9:AE10)</f>
        <v>2.9999999999999361E-2</v>
      </c>
      <c r="AF11" s="579"/>
      <c r="AG11" s="579"/>
      <c r="AH11" s="579">
        <f t="shared" ref="AH11:AZ11" si="23">SUM(AH9:AH10)</f>
        <v>0</v>
      </c>
      <c r="AI11" s="577">
        <f t="shared" si="23"/>
        <v>0.1499999999999968</v>
      </c>
      <c r="AJ11" s="579">
        <f t="shared" si="23"/>
        <v>3.8399999999999997E-2</v>
      </c>
      <c r="AK11" s="579">
        <f t="shared" si="23"/>
        <v>0</v>
      </c>
      <c r="AL11" s="577">
        <f t="shared" si="23"/>
        <v>0.18839999999999679</v>
      </c>
      <c r="AM11" s="337">
        <f t="shared" si="23"/>
        <v>339120</v>
      </c>
      <c r="AN11" s="577">
        <f t="shared" si="23"/>
        <v>7.4999999999999997E-2</v>
      </c>
      <c r="AO11" s="337">
        <f t="shared" si="23"/>
        <v>135000</v>
      </c>
      <c r="AP11" s="337">
        <f t="shared" si="23"/>
        <v>1696</v>
      </c>
      <c r="AQ11" s="337">
        <f t="shared" si="23"/>
        <v>57650</v>
      </c>
      <c r="AR11" s="337">
        <f t="shared" si="23"/>
        <v>27130</v>
      </c>
      <c r="AS11" s="337">
        <f t="shared" si="23"/>
        <v>10174</v>
      </c>
      <c r="AT11" s="337">
        <f t="shared" si="23"/>
        <v>5087</v>
      </c>
      <c r="AU11" s="337">
        <f t="shared" si="23"/>
        <v>3391</v>
      </c>
      <c r="AV11" s="337">
        <f t="shared" si="23"/>
        <v>3391</v>
      </c>
      <c r="AW11" s="337">
        <f t="shared" si="23"/>
        <v>6782.4</v>
      </c>
      <c r="AX11" s="337">
        <f t="shared" si="23"/>
        <v>438512</v>
      </c>
      <c r="AY11" s="388">
        <f t="shared" si="23"/>
        <v>0</v>
      </c>
      <c r="AZ11" s="388">
        <f t="shared" si="23"/>
        <v>87412.5</v>
      </c>
      <c r="BA11" s="337" t="e">
        <f>SUM(#REF!)</f>
        <v>#REF!</v>
      </c>
      <c r="BB11" s="337" t="e">
        <f>SUM(#REF!)</f>
        <v>#REF!</v>
      </c>
      <c r="BC11" s="337" t="e">
        <f>#REF!-AX11</f>
        <v>#REF!</v>
      </c>
      <c r="BD11" s="337" t="e">
        <f>SUM(#REF!)</f>
        <v>#REF!</v>
      </c>
      <c r="BE11" s="557"/>
      <c r="BF11" s="302"/>
    </row>
    <row r="12" spans="1:58" s="521" customFormat="1" ht="4.5" customHeight="1" x14ac:dyDescent="0.3">
      <c r="A12" s="580"/>
      <c r="C12" s="73"/>
      <c r="D12" s="73"/>
      <c r="H12" s="522"/>
      <c r="J12" s="522"/>
      <c r="P12" s="522"/>
      <c r="Q12" s="522"/>
      <c r="R12" s="522"/>
      <c r="T12" s="522"/>
      <c r="U12" s="73"/>
      <c r="Z12" s="522"/>
      <c r="AA12" s="522"/>
      <c r="AB12" s="522"/>
      <c r="AD12" s="522"/>
      <c r="AE12" s="522"/>
      <c r="AF12" s="524"/>
      <c r="AG12" s="522"/>
      <c r="AH12" s="520"/>
      <c r="AI12" s="520"/>
      <c r="AJ12" s="520"/>
      <c r="AK12" s="520"/>
      <c r="AL12" s="520"/>
      <c r="AM12" s="525"/>
      <c r="AN12" s="520"/>
      <c r="AO12" s="526"/>
      <c r="AX12" s="581"/>
      <c r="BE12" s="557"/>
      <c r="BF12" s="49"/>
    </row>
    <row r="13" spans="1:58" s="583" customFormat="1" x14ac:dyDescent="0.3">
      <c r="A13" s="763" t="s">
        <v>410</v>
      </c>
      <c r="B13" s="763"/>
      <c r="C13" s="763"/>
      <c r="D13" s="763"/>
      <c r="E13" s="763"/>
      <c r="F13" s="763"/>
      <c r="G13" s="763"/>
      <c r="H13" s="763"/>
      <c r="I13" s="763"/>
      <c r="J13" s="763"/>
      <c r="K13" s="763"/>
      <c r="L13" s="763"/>
      <c r="M13" s="763"/>
      <c r="N13" s="763"/>
      <c r="O13" s="763"/>
      <c r="P13" s="763"/>
      <c r="Q13" s="763"/>
      <c r="R13" s="763"/>
      <c r="S13" s="763"/>
      <c r="T13" s="763"/>
      <c r="U13" s="763"/>
      <c r="V13" s="763"/>
      <c r="W13" s="763"/>
      <c r="X13" s="763"/>
      <c r="Y13" s="763"/>
      <c r="Z13" s="763"/>
      <c r="AA13" s="763"/>
      <c r="AB13" s="763"/>
      <c r="AC13" s="763"/>
      <c r="AD13" s="763"/>
      <c r="AE13" s="763"/>
      <c r="AF13" s="763"/>
      <c r="AG13" s="763"/>
      <c r="AH13" s="763"/>
      <c r="AI13" s="763"/>
      <c r="AJ13" s="763"/>
      <c r="AK13" s="763"/>
      <c r="AL13" s="763"/>
      <c r="AM13" s="763"/>
      <c r="AN13" s="763"/>
      <c r="AO13" s="763"/>
      <c r="AP13" s="763"/>
      <c r="AQ13" s="763"/>
      <c r="AR13" s="763"/>
      <c r="AS13" s="763"/>
      <c r="AT13" s="763"/>
      <c r="AU13" s="763"/>
      <c r="AV13" s="763"/>
      <c r="AW13" s="763"/>
      <c r="AX13" s="582"/>
      <c r="AZ13" s="584"/>
      <c r="BC13" s="121"/>
      <c r="BE13" s="121"/>
      <c r="BF13" s="49"/>
    </row>
    <row r="14" spans="1:58" s="586" customFormat="1" x14ac:dyDescent="0.3">
      <c r="A14" s="585"/>
      <c r="C14" s="73"/>
      <c r="D14" s="73"/>
      <c r="J14" s="587"/>
      <c r="T14" s="587"/>
      <c r="U14" s="73"/>
      <c r="AD14" s="587"/>
      <c r="AE14" s="587"/>
      <c r="AF14" s="524"/>
      <c r="AG14" s="587"/>
      <c r="AM14" s="588"/>
      <c r="AO14" s="588"/>
      <c r="AR14" s="589"/>
      <c r="AT14" s="589" t="s">
        <v>411</v>
      </c>
      <c r="AU14" s="589"/>
      <c r="AV14" s="589"/>
      <c r="AW14" s="589"/>
      <c r="AX14" s="589"/>
      <c r="AY14" s="589"/>
      <c r="AZ14" s="589"/>
      <c r="BA14" s="589"/>
      <c r="BB14" s="589"/>
      <c r="BC14" s="589"/>
      <c r="BD14" s="589"/>
      <c r="BE14" s="589"/>
      <c r="BF14" s="49"/>
    </row>
    <row r="15" spans="1:58" s="338" customFormat="1" x14ac:dyDescent="0.3">
      <c r="A15" s="590"/>
      <c r="C15" s="764"/>
      <c r="D15" s="764"/>
      <c r="E15" s="764"/>
      <c r="F15" s="511"/>
      <c r="J15" s="591"/>
      <c r="N15" s="511"/>
      <c r="Q15" s="338" t="s">
        <v>412</v>
      </c>
      <c r="T15" s="591"/>
      <c r="U15" s="592"/>
      <c r="X15" s="511"/>
      <c r="AD15" s="591"/>
      <c r="AE15" s="591"/>
      <c r="AF15" s="684" t="s">
        <v>413</v>
      </c>
      <c r="AG15" s="684"/>
      <c r="AH15" s="684"/>
      <c r="AI15" s="684"/>
      <c r="AJ15" s="684"/>
      <c r="AK15" s="684"/>
      <c r="AL15" s="684"/>
      <c r="AM15" s="684"/>
      <c r="AO15" s="593"/>
      <c r="AR15" s="684"/>
      <c r="AS15" s="684"/>
      <c r="AU15" s="594" t="s">
        <v>414</v>
      </c>
      <c r="AV15" s="594"/>
      <c r="AW15" s="594"/>
      <c r="AX15" s="594"/>
      <c r="AY15" s="594"/>
      <c r="AZ15" s="594"/>
      <c r="BA15" s="594"/>
      <c r="BB15" s="594"/>
      <c r="BC15" s="594"/>
      <c r="BD15" s="594"/>
      <c r="BE15" s="594"/>
      <c r="BF15" s="49"/>
    </row>
    <row r="16" spans="1:58" s="521" customFormat="1" x14ac:dyDescent="0.3">
      <c r="A16" s="580"/>
      <c r="C16" s="767"/>
      <c r="D16" s="767"/>
      <c r="E16" s="767"/>
      <c r="F16" s="595"/>
      <c r="H16" s="522"/>
      <c r="J16" s="522"/>
      <c r="K16" s="520"/>
      <c r="L16" s="520"/>
      <c r="M16" s="520"/>
      <c r="N16" s="595"/>
      <c r="P16" s="522"/>
      <c r="Q16" s="522"/>
      <c r="R16" s="522"/>
      <c r="T16" s="522"/>
      <c r="U16" s="523"/>
      <c r="V16" s="520"/>
      <c r="W16" s="520"/>
      <c r="X16" s="595"/>
      <c r="Z16" s="522"/>
      <c r="AA16" s="522"/>
      <c r="AB16" s="522"/>
      <c r="AD16" s="522"/>
      <c r="AE16" s="522"/>
      <c r="AF16" s="768"/>
      <c r="AG16" s="768"/>
      <c r="AH16" s="768"/>
      <c r="AI16" s="768"/>
      <c r="AJ16" s="768"/>
      <c r="AK16" s="768"/>
      <c r="AL16" s="768"/>
      <c r="AM16" s="768"/>
      <c r="AN16" s="520"/>
      <c r="AO16" s="596"/>
      <c r="AR16" s="768"/>
      <c r="AS16" s="768"/>
      <c r="AT16" s="597"/>
      <c r="AX16" s="73"/>
      <c r="BF16" s="49"/>
    </row>
    <row r="17" spans="1:59" s="521" customFormat="1" ht="45" customHeight="1" x14ac:dyDescent="0.3">
      <c r="A17" s="580"/>
      <c r="C17" s="73"/>
      <c r="D17" s="73"/>
      <c r="H17" s="522"/>
      <c r="J17" s="522"/>
      <c r="P17" s="522"/>
      <c r="Q17" s="522"/>
      <c r="R17" s="522"/>
      <c r="T17" s="522"/>
      <c r="U17" s="73"/>
      <c r="Z17" s="522"/>
      <c r="AA17" s="522"/>
      <c r="AB17" s="522"/>
      <c r="AD17" s="522"/>
      <c r="AE17" s="522"/>
      <c r="AF17" s="524"/>
      <c r="AL17" s="520"/>
      <c r="AM17" s="525"/>
      <c r="AN17" s="520"/>
      <c r="AO17" s="596"/>
      <c r="BE17" s="557"/>
      <c r="BF17" s="49"/>
      <c r="BG17" s="598"/>
    </row>
    <row r="18" spans="1:59" s="338" customFormat="1" x14ac:dyDescent="0.3">
      <c r="A18" s="590"/>
      <c r="B18" s="764"/>
      <c r="C18" s="764"/>
      <c r="D18" s="764"/>
      <c r="E18" s="764"/>
      <c r="F18" s="764"/>
      <c r="G18" s="764"/>
      <c r="H18" s="764"/>
      <c r="I18" s="764"/>
      <c r="J18" s="764"/>
      <c r="K18" s="599"/>
      <c r="L18" s="599"/>
      <c r="M18" s="599"/>
      <c r="N18" s="594" t="s">
        <v>174</v>
      </c>
      <c r="O18" s="594"/>
      <c r="P18" s="594"/>
      <c r="Q18" s="594"/>
      <c r="R18" s="594"/>
      <c r="S18" s="594"/>
      <c r="T18" s="591"/>
      <c r="U18" s="600"/>
      <c r="V18" s="599"/>
      <c r="W18" s="599"/>
      <c r="X18" s="511"/>
      <c r="Z18" s="591"/>
      <c r="AA18" s="591"/>
      <c r="AB18" s="591"/>
      <c r="AD18" s="591"/>
      <c r="AE18" s="591"/>
      <c r="AF18" s="601"/>
      <c r="AG18" s="684" t="s">
        <v>174</v>
      </c>
      <c r="AH18" s="684"/>
      <c r="AI18" s="684"/>
      <c r="AJ18" s="684"/>
      <c r="AK18" s="684"/>
      <c r="AL18" s="684"/>
      <c r="AM18" s="602"/>
      <c r="AN18" s="599"/>
      <c r="AO18" s="593"/>
      <c r="AQ18" s="594"/>
      <c r="AR18" s="594"/>
      <c r="AS18" s="594"/>
      <c r="AT18" s="594"/>
      <c r="AU18" s="594" t="s">
        <v>350</v>
      </c>
      <c r="AV18" s="594"/>
      <c r="AW18" s="594"/>
      <c r="AX18" s="594"/>
      <c r="BE18" s="203"/>
      <c r="BF18" s="49"/>
    </row>
    <row r="19" spans="1:59" s="521" customFormat="1" x14ac:dyDescent="0.3">
      <c r="A19" s="580"/>
      <c r="B19" s="338"/>
      <c r="C19" s="592"/>
      <c r="D19" s="592"/>
      <c r="E19" s="338"/>
      <c r="F19" s="338"/>
      <c r="G19" s="338"/>
      <c r="H19" s="591"/>
      <c r="I19" s="338"/>
      <c r="J19" s="591"/>
      <c r="K19" s="338"/>
      <c r="L19" s="338"/>
      <c r="M19" s="338"/>
      <c r="N19" s="338"/>
      <c r="O19" s="338"/>
      <c r="P19" s="591"/>
      <c r="Q19" s="591"/>
      <c r="R19" s="591"/>
      <c r="S19" s="338"/>
      <c r="T19" s="591"/>
      <c r="U19" s="592"/>
      <c r="V19" s="338"/>
      <c r="W19" s="338"/>
      <c r="X19" s="338"/>
      <c r="Y19" s="338"/>
      <c r="Z19" s="591"/>
      <c r="AA19" s="591"/>
      <c r="AB19" s="591"/>
      <c r="AC19" s="338"/>
      <c r="AD19" s="591"/>
      <c r="AE19" s="591"/>
      <c r="AF19" s="601"/>
      <c r="AG19" s="591"/>
      <c r="AH19" s="599"/>
      <c r="AI19" s="599"/>
      <c r="AJ19" s="599"/>
      <c r="AK19" s="599"/>
      <c r="AL19" s="599"/>
      <c r="AM19" s="602"/>
      <c r="AN19" s="599"/>
      <c r="AO19" s="526"/>
      <c r="BE19" s="203"/>
      <c r="BF19" s="49"/>
    </row>
    <row r="20" spans="1:59" s="521" customFormat="1" x14ac:dyDescent="0.3">
      <c r="A20" s="580"/>
      <c r="C20" s="73"/>
      <c r="D20" s="73"/>
      <c r="J20" s="522"/>
      <c r="T20" s="522"/>
      <c r="U20" s="73"/>
      <c r="AD20" s="522"/>
      <c r="AE20" s="522"/>
      <c r="AF20" s="524"/>
      <c r="AG20" s="522"/>
      <c r="AM20" s="526"/>
      <c r="AO20" s="526"/>
      <c r="BE20" s="203"/>
      <c r="BF20" s="49"/>
    </row>
    <row r="21" spans="1:59" s="521" customFormat="1" x14ac:dyDescent="0.3">
      <c r="A21" s="580"/>
      <c r="C21" s="73"/>
      <c r="D21" s="73"/>
      <c r="H21" s="522"/>
      <c r="J21" s="522"/>
      <c r="P21" s="522"/>
      <c r="Q21" s="522"/>
      <c r="R21" s="522"/>
      <c r="T21" s="522"/>
      <c r="U21" s="73"/>
      <c r="Z21" s="522"/>
      <c r="AA21" s="522"/>
      <c r="AB21" s="522"/>
      <c r="AD21" s="522"/>
      <c r="AE21" s="522"/>
      <c r="AF21" s="524"/>
      <c r="AG21" s="522"/>
      <c r="AH21" s="520"/>
      <c r="AI21" s="520"/>
      <c r="AJ21" s="520"/>
      <c r="AK21" s="520"/>
      <c r="AL21" s="520"/>
      <c r="AM21" s="525"/>
      <c r="AN21" s="520"/>
      <c r="AO21" s="526"/>
      <c r="BE21" s="121"/>
      <c r="BF21" s="49"/>
    </row>
    <row r="22" spans="1:59" x14ac:dyDescent="0.3">
      <c r="BE22" s="760"/>
    </row>
    <row r="23" spans="1:59" x14ac:dyDescent="0.3">
      <c r="BE23" s="760"/>
    </row>
    <row r="24" spans="1:59" x14ac:dyDescent="0.3">
      <c r="BE24" s="760"/>
      <c r="BF24" s="604"/>
    </row>
    <row r="25" spans="1:59" x14ac:dyDescent="0.3">
      <c r="BE25" s="760"/>
    </row>
    <row r="26" spans="1:59" ht="19.5" customHeight="1" x14ac:dyDescent="0.3">
      <c r="BE26" s="760"/>
    </row>
    <row r="27" spans="1:59" ht="19.5" customHeight="1" x14ac:dyDescent="0.3">
      <c r="BE27" s="760"/>
    </row>
    <row r="28" spans="1:59" x14ac:dyDescent="0.3">
      <c r="BE28" s="760"/>
    </row>
    <row r="29" spans="1:59" x14ac:dyDescent="0.3">
      <c r="BE29" s="760"/>
    </row>
    <row r="30" spans="1:59" x14ac:dyDescent="0.3">
      <c r="BE30" s="760"/>
    </row>
    <row r="31" spans="1:59" x14ac:dyDescent="0.3">
      <c r="BE31" s="760"/>
    </row>
    <row r="32" spans="1:59" x14ac:dyDescent="0.3">
      <c r="BE32" s="605"/>
    </row>
    <row r="33" spans="57:57" x14ac:dyDescent="0.3">
      <c r="BE33" s="605"/>
    </row>
    <row r="34" spans="57:57" x14ac:dyDescent="0.3">
      <c r="BE34" s="605"/>
    </row>
    <row r="35" spans="57:57" x14ac:dyDescent="0.3">
      <c r="BE35" s="760"/>
    </row>
    <row r="36" spans="57:57" x14ac:dyDescent="0.3">
      <c r="BE36" s="760"/>
    </row>
    <row r="37" spans="57:57" x14ac:dyDescent="0.3">
      <c r="BE37" s="760"/>
    </row>
    <row r="38" spans="57:57" x14ac:dyDescent="0.3">
      <c r="BE38" s="760"/>
    </row>
    <row r="39" spans="57:57" x14ac:dyDescent="0.3">
      <c r="BE39" s="760"/>
    </row>
    <row r="40" spans="57:57" x14ac:dyDescent="0.3">
      <c r="BE40" s="760"/>
    </row>
    <row r="41" spans="57:57" x14ac:dyDescent="0.3">
      <c r="BE41" s="760"/>
    </row>
    <row r="42" spans="57:57" x14ac:dyDescent="0.3">
      <c r="BE42" s="760"/>
    </row>
    <row r="43" spans="57:57" x14ac:dyDescent="0.3">
      <c r="BE43" s="760"/>
    </row>
    <row r="44" spans="57:57" x14ac:dyDescent="0.3">
      <c r="BE44" s="760"/>
    </row>
    <row r="45" spans="57:57" x14ac:dyDescent="0.3">
      <c r="BE45" s="760"/>
    </row>
    <row r="46" spans="57:57" x14ac:dyDescent="0.3">
      <c r="BE46" s="760"/>
    </row>
    <row r="47" spans="57:57" x14ac:dyDescent="0.3">
      <c r="BE47" s="760"/>
    </row>
    <row r="48" spans="57:57" x14ac:dyDescent="0.3">
      <c r="BE48" s="760"/>
    </row>
    <row r="49" spans="1:58" x14ac:dyDescent="0.3">
      <c r="BE49" s="760"/>
    </row>
    <row r="50" spans="1:58" x14ac:dyDescent="0.3">
      <c r="BE50" s="760"/>
    </row>
    <row r="51" spans="1:58" x14ac:dyDescent="0.3">
      <c r="BE51" s="760"/>
    </row>
    <row r="52" spans="1:58" x14ac:dyDescent="0.3">
      <c r="BE52" s="760"/>
    </row>
    <row r="53" spans="1:58" x14ac:dyDescent="0.3">
      <c r="BE53" s="760"/>
    </row>
    <row r="54" spans="1:58" s="521" customFormat="1" x14ac:dyDescent="0.3">
      <c r="A54" s="736" t="s">
        <v>28</v>
      </c>
      <c r="B54" s="736"/>
      <c r="C54" s="736"/>
      <c r="D54" s="736"/>
      <c r="E54" s="736"/>
      <c r="F54" s="736"/>
      <c r="G54" s="736"/>
      <c r="H54" s="736"/>
      <c r="I54" s="736"/>
      <c r="J54" s="736"/>
      <c r="K54" s="520"/>
      <c r="L54" s="520"/>
      <c r="M54" s="520"/>
      <c r="N54" s="520"/>
      <c r="O54" s="520"/>
      <c r="P54" s="520"/>
      <c r="Q54" s="520"/>
      <c r="R54" s="520"/>
      <c r="T54" s="522"/>
      <c r="U54" s="523"/>
      <c r="V54" s="520"/>
      <c r="W54" s="520"/>
      <c r="X54" s="520"/>
      <c r="Y54" s="520"/>
      <c r="Z54" s="520"/>
      <c r="AA54" s="520"/>
      <c r="AB54" s="520"/>
      <c r="AD54" s="522"/>
      <c r="AE54" s="522"/>
      <c r="AF54" s="524"/>
      <c r="AG54" s="522"/>
      <c r="AH54" s="520"/>
      <c r="AI54" s="520"/>
      <c r="AJ54" s="520"/>
      <c r="AK54" s="520"/>
      <c r="AL54" s="520"/>
      <c r="AM54" s="525"/>
      <c r="AN54" s="520"/>
      <c r="AO54" s="526"/>
      <c r="AX54" s="511"/>
      <c r="BE54" s="760"/>
      <c r="BF54" s="58"/>
    </row>
    <row r="55" spans="1:58" s="521" customFormat="1" x14ac:dyDescent="0.3">
      <c r="A55" s="737" t="s">
        <v>30</v>
      </c>
      <c r="B55" s="737"/>
      <c r="C55" s="737"/>
      <c r="D55" s="737"/>
      <c r="E55" s="737"/>
      <c r="F55" s="737"/>
      <c r="G55" s="737"/>
      <c r="H55" s="737"/>
      <c r="I55" s="737"/>
      <c r="J55" s="737"/>
      <c r="K55" s="520"/>
      <c r="L55" s="520"/>
      <c r="M55" s="520"/>
      <c r="N55" s="520"/>
      <c r="O55" s="520"/>
      <c r="P55" s="520"/>
      <c r="Q55" s="520"/>
      <c r="R55" s="520"/>
      <c r="T55" s="522"/>
      <c r="U55" s="523"/>
      <c r="V55" s="520"/>
      <c r="W55" s="520"/>
      <c r="X55" s="520"/>
      <c r="Y55" s="520"/>
      <c r="Z55" s="520"/>
      <c r="AA55" s="520"/>
      <c r="AB55" s="520"/>
      <c r="AD55" s="522"/>
      <c r="AE55" s="522"/>
      <c r="AF55" s="524"/>
      <c r="AG55" s="522"/>
      <c r="AH55" s="520"/>
      <c r="AI55" s="520"/>
      <c r="AJ55" s="520"/>
      <c r="AK55" s="520"/>
      <c r="AL55" s="520"/>
      <c r="AM55" s="525"/>
      <c r="AN55" s="520"/>
      <c r="AO55" s="526"/>
      <c r="BE55" s="760"/>
      <c r="BF55" s="58"/>
    </row>
    <row r="56" spans="1:58" s="528" customFormat="1" ht="63.75" customHeight="1" x14ac:dyDescent="0.3">
      <c r="A56" s="738" t="s">
        <v>415</v>
      </c>
      <c r="B56" s="738"/>
      <c r="C56" s="738"/>
      <c r="D56" s="738"/>
      <c r="E56" s="738"/>
      <c r="F56" s="738"/>
      <c r="G56" s="738"/>
      <c r="H56" s="738"/>
      <c r="I56" s="738"/>
      <c r="J56" s="738"/>
      <c r="K56" s="738"/>
      <c r="L56" s="738"/>
      <c r="M56" s="738"/>
      <c r="N56" s="738"/>
      <c r="O56" s="738"/>
      <c r="P56" s="738"/>
      <c r="Q56" s="738"/>
      <c r="R56" s="738"/>
      <c r="S56" s="738"/>
      <c r="T56" s="738"/>
      <c r="U56" s="738"/>
      <c r="V56" s="738"/>
      <c r="W56" s="738"/>
      <c r="X56" s="738"/>
      <c r="Y56" s="738"/>
      <c r="Z56" s="738"/>
      <c r="AA56" s="738"/>
      <c r="AB56" s="738"/>
      <c r="AC56" s="738"/>
      <c r="AD56" s="738"/>
      <c r="AE56" s="738"/>
      <c r="AF56" s="738"/>
      <c r="AG56" s="738"/>
      <c r="AH56" s="738"/>
      <c r="AI56" s="738"/>
      <c r="AJ56" s="738"/>
      <c r="AK56" s="738"/>
      <c r="AL56" s="738"/>
      <c r="AM56" s="738"/>
      <c r="AN56" s="738"/>
      <c r="AO56" s="738"/>
      <c r="AP56" s="738"/>
      <c r="AQ56" s="738"/>
      <c r="AR56" s="738"/>
      <c r="AS56" s="738"/>
      <c r="AT56" s="738"/>
      <c r="AU56" s="738"/>
      <c r="AV56" s="738"/>
      <c r="AW56" s="738"/>
      <c r="AX56" s="738"/>
      <c r="AY56" s="738"/>
      <c r="AZ56" s="527"/>
      <c r="BA56" s="527"/>
      <c r="BB56" s="527" t="s">
        <v>389</v>
      </c>
      <c r="BC56" s="527"/>
      <c r="BD56" s="527"/>
      <c r="BE56" s="760"/>
      <c r="BF56" s="58"/>
    </row>
    <row r="57" spans="1:58" s="531" customFormat="1" ht="20.25" customHeight="1" x14ac:dyDescent="0.2">
      <c r="A57" s="739" t="s">
        <v>390</v>
      </c>
      <c r="B57" s="739" t="s">
        <v>31</v>
      </c>
      <c r="C57" s="741" t="s">
        <v>32</v>
      </c>
      <c r="D57" s="742" t="s">
        <v>391</v>
      </c>
      <c r="E57" s="743"/>
      <c r="F57" s="743"/>
      <c r="G57" s="743"/>
      <c r="H57" s="743"/>
      <c r="I57" s="743"/>
      <c r="J57" s="743"/>
      <c r="K57" s="744"/>
      <c r="L57" s="742" t="s">
        <v>392</v>
      </c>
      <c r="M57" s="743"/>
      <c r="N57" s="743"/>
      <c r="O57" s="743"/>
      <c r="P57" s="743"/>
      <c r="Q57" s="743"/>
      <c r="R57" s="743"/>
      <c r="S57" s="743"/>
      <c r="T57" s="743"/>
      <c r="U57" s="744"/>
      <c r="V57" s="745" t="s">
        <v>393</v>
      </c>
      <c r="W57" s="746"/>
      <c r="X57" s="746"/>
      <c r="Y57" s="746"/>
      <c r="Z57" s="746"/>
      <c r="AA57" s="746"/>
      <c r="AB57" s="746"/>
      <c r="AC57" s="746"/>
      <c r="AD57" s="746"/>
      <c r="AE57" s="747"/>
      <c r="AF57" s="748" t="s">
        <v>394</v>
      </c>
      <c r="AG57" s="752" t="s">
        <v>395</v>
      </c>
      <c r="AH57" s="756" t="s">
        <v>396</v>
      </c>
      <c r="AI57" s="757" t="s">
        <v>397</v>
      </c>
      <c r="AJ57" s="757" t="s">
        <v>398</v>
      </c>
      <c r="AK57" s="757" t="s">
        <v>399</v>
      </c>
      <c r="AL57" s="754" t="s">
        <v>400</v>
      </c>
      <c r="AM57" s="741" t="s">
        <v>401</v>
      </c>
      <c r="AN57" s="754" t="s">
        <v>396</v>
      </c>
      <c r="AO57" s="755" t="s">
        <v>52</v>
      </c>
      <c r="AP57" s="741" t="s">
        <v>402</v>
      </c>
      <c r="AQ57" s="751" t="s">
        <v>40</v>
      </c>
      <c r="AR57" s="751"/>
      <c r="AS57" s="751" t="s">
        <v>41</v>
      </c>
      <c r="AT57" s="751"/>
      <c r="AU57" s="751" t="s">
        <v>42</v>
      </c>
      <c r="AV57" s="751"/>
      <c r="AW57" s="751" t="s">
        <v>43</v>
      </c>
      <c r="AX57" s="741" t="s">
        <v>46</v>
      </c>
      <c r="AY57" s="741" t="s">
        <v>47</v>
      </c>
      <c r="AZ57" s="529"/>
      <c r="BA57" s="529"/>
      <c r="BB57" s="530"/>
      <c r="BC57" s="530"/>
      <c r="BD57" s="530"/>
      <c r="BE57" s="760"/>
      <c r="BF57" s="58"/>
    </row>
    <row r="58" spans="1:58" s="536" customFormat="1" ht="25.5" customHeight="1" x14ac:dyDescent="0.2">
      <c r="A58" s="740"/>
      <c r="B58" s="739"/>
      <c r="C58" s="741"/>
      <c r="D58" s="752" t="s">
        <v>33</v>
      </c>
      <c r="E58" s="752" t="s">
        <v>34</v>
      </c>
      <c r="F58" s="752" t="s">
        <v>34</v>
      </c>
      <c r="G58" s="742" t="s">
        <v>35</v>
      </c>
      <c r="H58" s="744"/>
      <c r="I58" s="752" t="s">
        <v>35</v>
      </c>
      <c r="J58" s="752"/>
      <c r="K58" s="752" t="s">
        <v>403</v>
      </c>
      <c r="L58" s="752" t="s">
        <v>33</v>
      </c>
      <c r="M58" s="752" t="s">
        <v>34</v>
      </c>
      <c r="N58" s="752" t="s">
        <v>34</v>
      </c>
      <c r="O58" s="752" t="s">
        <v>35</v>
      </c>
      <c r="P58" s="752"/>
      <c r="Q58" s="752" t="s">
        <v>35</v>
      </c>
      <c r="R58" s="752"/>
      <c r="S58" s="752" t="s">
        <v>35</v>
      </c>
      <c r="T58" s="752"/>
      <c r="U58" s="752" t="s">
        <v>403</v>
      </c>
      <c r="V58" s="752" t="s">
        <v>33</v>
      </c>
      <c r="W58" s="758" t="s">
        <v>34</v>
      </c>
      <c r="X58" s="752" t="s">
        <v>34</v>
      </c>
      <c r="Y58" s="752" t="s">
        <v>35</v>
      </c>
      <c r="Z58" s="752"/>
      <c r="AA58" s="532"/>
      <c r="AB58" s="532"/>
      <c r="AC58" s="533" t="s">
        <v>35</v>
      </c>
      <c r="AD58" s="533"/>
      <c r="AE58" s="533"/>
      <c r="AF58" s="749"/>
      <c r="AG58" s="752"/>
      <c r="AH58" s="756"/>
      <c r="AI58" s="757"/>
      <c r="AJ58" s="757"/>
      <c r="AK58" s="757"/>
      <c r="AL58" s="754"/>
      <c r="AM58" s="741"/>
      <c r="AN58" s="754"/>
      <c r="AO58" s="755"/>
      <c r="AP58" s="741"/>
      <c r="AQ58" s="751"/>
      <c r="AR58" s="751"/>
      <c r="AS58" s="751"/>
      <c r="AT58" s="751"/>
      <c r="AU58" s="751"/>
      <c r="AV58" s="751"/>
      <c r="AW58" s="751"/>
      <c r="AX58" s="741"/>
      <c r="AY58" s="741"/>
      <c r="AZ58" s="534"/>
      <c r="BA58" s="534"/>
      <c r="BB58" s="535"/>
      <c r="BC58" s="535"/>
      <c r="BD58" s="535"/>
      <c r="BE58" s="507"/>
      <c r="BF58" s="58"/>
    </row>
    <row r="59" spans="1:58" s="543" customFormat="1" ht="72.75" customHeight="1" x14ac:dyDescent="0.2">
      <c r="A59" s="740"/>
      <c r="B59" s="739"/>
      <c r="C59" s="741"/>
      <c r="D59" s="753"/>
      <c r="E59" s="753"/>
      <c r="F59" s="753"/>
      <c r="G59" s="537" t="s">
        <v>48</v>
      </c>
      <c r="H59" s="538" t="s">
        <v>404</v>
      </c>
      <c r="I59" s="537" t="s">
        <v>48</v>
      </c>
      <c r="J59" s="538" t="s">
        <v>405</v>
      </c>
      <c r="K59" s="753"/>
      <c r="L59" s="753"/>
      <c r="M59" s="753"/>
      <c r="N59" s="753"/>
      <c r="O59" s="537" t="s">
        <v>48</v>
      </c>
      <c r="P59" s="538" t="s">
        <v>49</v>
      </c>
      <c r="Q59" s="537" t="s">
        <v>48</v>
      </c>
      <c r="R59" s="538" t="s">
        <v>49</v>
      </c>
      <c r="S59" s="537" t="s">
        <v>48</v>
      </c>
      <c r="T59" s="538" t="s">
        <v>50</v>
      </c>
      <c r="U59" s="753"/>
      <c r="V59" s="753"/>
      <c r="W59" s="759"/>
      <c r="X59" s="753"/>
      <c r="Y59" s="537" t="s">
        <v>48</v>
      </c>
      <c r="Z59" s="538" t="s">
        <v>49</v>
      </c>
      <c r="AA59" s="539" t="s">
        <v>48</v>
      </c>
      <c r="AB59" s="540" t="s">
        <v>406</v>
      </c>
      <c r="AC59" s="539" t="s">
        <v>48</v>
      </c>
      <c r="AD59" s="540" t="s">
        <v>50</v>
      </c>
      <c r="AE59" s="541" t="s">
        <v>403</v>
      </c>
      <c r="AF59" s="750"/>
      <c r="AG59" s="752"/>
      <c r="AH59" s="756"/>
      <c r="AI59" s="757"/>
      <c r="AJ59" s="757"/>
      <c r="AK59" s="757"/>
      <c r="AL59" s="754"/>
      <c r="AM59" s="741"/>
      <c r="AN59" s="754"/>
      <c r="AO59" s="755"/>
      <c r="AP59" s="741"/>
      <c r="AQ59" s="532" t="s">
        <v>69</v>
      </c>
      <c r="AR59" s="532" t="s">
        <v>53</v>
      </c>
      <c r="AS59" s="532" t="s">
        <v>54</v>
      </c>
      <c r="AT59" s="532" t="s">
        <v>55</v>
      </c>
      <c r="AU59" s="532" t="s">
        <v>56</v>
      </c>
      <c r="AV59" s="532" t="s">
        <v>57</v>
      </c>
      <c r="AW59" s="532" t="s">
        <v>58</v>
      </c>
      <c r="AX59" s="741"/>
      <c r="AY59" s="741"/>
      <c r="AZ59" s="534"/>
      <c r="BA59" s="534"/>
      <c r="BB59" s="535"/>
      <c r="BC59" s="535"/>
      <c r="BD59" s="535"/>
      <c r="BE59" s="504"/>
      <c r="BF59" s="542"/>
    </row>
    <row r="60" spans="1:58" s="547" customFormat="1" ht="11.25" customHeight="1" x14ac:dyDescent="0.2">
      <c r="A60" s="544" t="s">
        <v>1</v>
      </c>
      <c r="B60" s="544" t="s">
        <v>2</v>
      </c>
      <c r="C60" s="544" t="s">
        <v>59</v>
      </c>
      <c r="D60" s="544">
        <v>1</v>
      </c>
      <c r="E60" s="544">
        <v>2</v>
      </c>
      <c r="F60" s="544">
        <v>2</v>
      </c>
      <c r="G60" s="765">
        <v>3</v>
      </c>
      <c r="H60" s="766"/>
      <c r="I60" s="761">
        <v>3</v>
      </c>
      <c r="J60" s="761"/>
      <c r="K60" s="544">
        <v>4</v>
      </c>
      <c r="L60" s="544">
        <v>5</v>
      </c>
      <c r="M60" s="544">
        <v>2</v>
      </c>
      <c r="N60" s="544">
        <v>6</v>
      </c>
      <c r="O60" s="761">
        <v>3</v>
      </c>
      <c r="P60" s="761"/>
      <c r="Q60" s="544"/>
      <c r="R60" s="544"/>
      <c r="S60" s="761">
        <v>7</v>
      </c>
      <c r="T60" s="761"/>
      <c r="U60" s="544">
        <v>8</v>
      </c>
      <c r="V60" s="544">
        <v>9</v>
      </c>
      <c r="W60" s="544">
        <v>2</v>
      </c>
      <c r="X60" s="544"/>
      <c r="Y60" s="761">
        <v>3</v>
      </c>
      <c r="Z60" s="761"/>
      <c r="AA60" s="544"/>
      <c r="AB60" s="544"/>
      <c r="AC60" s="761">
        <v>10</v>
      </c>
      <c r="AD60" s="761"/>
      <c r="AE60" s="545">
        <v>11</v>
      </c>
      <c r="AF60" s="544">
        <v>12</v>
      </c>
      <c r="AG60" s="545">
        <v>13</v>
      </c>
      <c r="AH60" s="544">
        <v>14</v>
      </c>
      <c r="AI60" s="545">
        <v>15</v>
      </c>
      <c r="AJ60" s="544">
        <v>16</v>
      </c>
      <c r="AK60" s="544"/>
      <c r="AL60" s="545">
        <v>17</v>
      </c>
      <c r="AM60" s="544">
        <v>18</v>
      </c>
      <c r="AN60" s="545">
        <v>19</v>
      </c>
      <c r="AO60" s="544">
        <v>20</v>
      </c>
      <c r="AP60" s="545">
        <v>21</v>
      </c>
      <c r="AQ60" s="544">
        <v>22</v>
      </c>
      <c r="AR60" s="545">
        <v>23</v>
      </c>
      <c r="AS60" s="544">
        <v>24</v>
      </c>
      <c r="AT60" s="545">
        <v>25</v>
      </c>
      <c r="AU60" s="544">
        <v>26</v>
      </c>
      <c r="AV60" s="545">
        <v>27</v>
      </c>
      <c r="AW60" s="544">
        <v>28</v>
      </c>
      <c r="AX60" s="544">
        <v>32</v>
      </c>
      <c r="AY60" s="544" t="s">
        <v>60</v>
      </c>
      <c r="AZ60" s="546"/>
      <c r="BA60" s="546"/>
      <c r="BB60" s="546"/>
      <c r="BC60" s="546"/>
      <c r="BD60" s="546"/>
      <c r="BE60" s="396"/>
      <c r="BF60" s="58"/>
    </row>
    <row r="61" spans="1:58" s="558" customFormat="1" ht="20.25" customHeight="1" x14ac:dyDescent="0.3">
      <c r="A61" s="548" t="s">
        <v>61</v>
      </c>
      <c r="B61" s="549" t="s">
        <v>62</v>
      </c>
      <c r="C61" s="549"/>
      <c r="D61" s="550"/>
      <c r="E61" s="550"/>
      <c r="F61" s="550"/>
      <c r="G61" s="549"/>
      <c r="H61" s="551"/>
      <c r="I61" s="549"/>
      <c r="J61" s="552"/>
      <c r="K61" s="552"/>
      <c r="L61" s="553"/>
      <c r="M61" s="552"/>
      <c r="N61" s="552"/>
      <c r="O61" s="552"/>
      <c r="P61" s="552"/>
      <c r="Q61" s="552"/>
      <c r="R61" s="552"/>
      <c r="S61" s="549"/>
      <c r="T61" s="552"/>
      <c r="U61" s="552"/>
      <c r="V61" s="550"/>
      <c r="W61" s="549"/>
      <c r="X61" s="550"/>
      <c r="Y61" s="549"/>
      <c r="Z61" s="551"/>
      <c r="AA61" s="551"/>
      <c r="AB61" s="551"/>
      <c r="AC61" s="549"/>
      <c r="AD61" s="552"/>
      <c r="AE61" s="552"/>
      <c r="AF61" s="552"/>
      <c r="AG61" s="552"/>
      <c r="AH61" s="554"/>
      <c r="AI61" s="554"/>
      <c r="AJ61" s="554"/>
      <c r="AK61" s="554"/>
      <c r="AL61" s="554"/>
      <c r="AM61" s="555"/>
      <c r="AN61" s="554"/>
      <c r="AO61" s="555"/>
      <c r="AP61" s="555"/>
      <c r="AQ61" s="555"/>
      <c r="AR61" s="555"/>
      <c r="AS61" s="555"/>
      <c r="AT61" s="555"/>
      <c r="AU61" s="555"/>
      <c r="AV61" s="555"/>
      <c r="AW61" s="555"/>
      <c r="AX61" s="555"/>
      <c r="AY61" s="555"/>
      <c r="AZ61" s="556"/>
      <c r="BA61" s="556"/>
      <c r="BB61" s="556"/>
      <c r="BC61" s="556"/>
      <c r="BD61" s="556"/>
      <c r="BE61" s="557"/>
      <c r="BF61" s="107"/>
    </row>
    <row r="62" spans="1:58" s="575" customFormat="1" ht="17.25" customHeight="1" x14ac:dyDescent="0.25">
      <c r="A62" s="559">
        <v>1</v>
      </c>
      <c r="B62" s="334" t="s">
        <v>416</v>
      </c>
      <c r="C62" s="334" t="s">
        <v>347</v>
      </c>
      <c r="D62" s="560">
        <v>4.32</v>
      </c>
      <c r="E62" s="561"/>
      <c r="F62" s="561">
        <v>0.5</v>
      </c>
      <c r="G62" s="562"/>
      <c r="H62" s="563"/>
      <c r="I62" s="564">
        <v>0.21</v>
      </c>
      <c r="J62" s="565">
        <f t="shared" ref="J62:J63" si="24">ROUND((D62+F62)*I62,4)</f>
        <v>1.0122</v>
      </c>
      <c r="K62" s="566">
        <f t="shared" ref="K62:K63" si="25">ROUND((D62+F62)*0.5,4)</f>
        <v>2.41</v>
      </c>
      <c r="L62" s="560">
        <v>4.34</v>
      </c>
      <c r="M62" s="561"/>
      <c r="N62" s="561">
        <v>0.5</v>
      </c>
      <c r="O62" s="562"/>
      <c r="P62" s="563"/>
      <c r="Q62" s="564"/>
      <c r="R62" s="563"/>
      <c r="S62" s="564">
        <v>0.21</v>
      </c>
      <c r="T62" s="565">
        <f t="shared" ref="T62:T63" si="26">ROUND((L62+N62)*S62,4)</f>
        <v>1.0164</v>
      </c>
      <c r="U62" s="606">
        <f t="shared" ref="U62:U63" si="27">ROUND((L62+N62+R62)*0.5,4)</f>
        <v>2.42</v>
      </c>
      <c r="V62" s="561">
        <f t="shared" ref="V62:V63" si="28">L62-D62</f>
        <v>1.9999999999999574E-2</v>
      </c>
      <c r="W62" s="561"/>
      <c r="X62" s="561"/>
      <c r="Y62" s="562"/>
      <c r="Z62" s="563"/>
      <c r="AA62" s="563"/>
      <c r="AB62" s="563"/>
      <c r="AC62" s="564"/>
      <c r="AD62" s="565">
        <f t="shared" ref="AD62:AD63" si="29">ROUND((T62-J62),4)</f>
        <v>4.1999999999999997E-3</v>
      </c>
      <c r="AE62" s="565">
        <f t="shared" ref="AE62:AE63" si="30">U62-K62</f>
        <v>9.9999999999997868E-3</v>
      </c>
      <c r="AF62" s="565" t="s">
        <v>417</v>
      </c>
      <c r="AG62" s="568">
        <v>1</v>
      </c>
      <c r="AH62" s="565"/>
      <c r="AI62" s="565">
        <f t="shared" ref="AI62:AI63" si="31">(V62+AB62)*AG62</f>
        <v>1.9999999999999574E-2</v>
      </c>
      <c r="AJ62" s="565">
        <f t="shared" ref="AJ62:AJ63" si="32">(AD62)*AG62</f>
        <v>4.1999999999999997E-3</v>
      </c>
      <c r="AK62" s="568">
        <f t="shared" ref="AK62:AK63" si="33">AB62*AG62</f>
        <v>0</v>
      </c>
      <c r="AL62" s="565">
        <f t="shared" ref="AL62:AL63" si="34">AI62+AJ62+AK62</f>
        <v>2.4199999999999573E-2</v>
      </c>
      <c r="AM62" s="607">
        <f t="shared" ref="AM62:AM63" si="35">ROUND(AL62*1800000,0)</f>
        <v>43560</v>
      </c>
      <c r="AN62" s="565">
        <f t="shared" ref="AN62:AN63" si="36">ROUND(AE62*AG62,4)</f>
        <v>0.01</v>
      </c>
      <c r="AO62" s="607">
        <f t="shared" ref="AO62:AO63" si="37">ROUND((AN62*1800000),0)</f>
        <v>18000</v>
      </c>
      <c r="AP62" s="571">
        <f t="shared" ref="AP62:AP63" si="38">ROUND((AM62*0.5/100),0)</f>
        <v>218</v>
      </c>
      <c r="AQ62" s="571">
        <f t="shared" ref="AQ62:AQ63" si="39">ROUND((AM62*17/100),0)</f>
        <v>7405</v>
      </c>
      <c r="AR62" s="571">
        <f t="shared" ref="AR62:AR63" si="40">ROUND((AM62*8/100),0)</f>
        <v>3485</v>
      </c>
      <c r="AS62" s="571">
        <f t="shared" ref="AS62:AS63" si="41">ROUND((AM62*3/100),0)</f>
        <v>1307</v>
      </c>
      <c r="AT62" s="571">
        <f t="shared" ref="AT62:AT63" si="42">ROUND((AM62*1.5/100),0)</f>
        <v>653</v>
      </c>
      <c r="AU62" s="571">
        <f t="shared" ref="AU62:AU63" si="43">ROUND((AM62/100),0)</f>
        <v>436</v>
      </c>
      <c r="AV62" s="571">
        <f t="shared" ref="AV62:AV63" si="44">ROUND((AM62/100),0)</f>
        <v>436</v>
      </c>
      <c r="AW62" s="571">
        <f t="shared" ref="AW62:AW63" si="45">AM62*2/100</f>
        <v>871.2</v>
      </c>
      <c r="AX62" s="571">
        <f t="shared" ref="AX62:AX63" si="46">ROUND((AM62+AO62-AR62-AT62-AV62),0)</f>
        <v>56986</v>
      </c>
      <c r="AY62" s="572"/>
      <c r="AZ62" s="335">
        <f>AX62+AX63</f>
        <v>286220</v>
      </c>
      <c r="BA62" s="335"/>
      <c r="BB62" s="335">
        <f t="shared" ref="BB62:BB63" si="47">AX62/5</f>
        <v>11397.2</v>
      </c>
      <c r="BC62" s="335"/>
      <c r="BD62" s="335"/>
      <c r="BE62" s="573"/>
      <c r="BF62" s="574"/>
    </row>
    <row r="63" spans="1:58" s="575" customFormat="1" ht="17.25" customHeight="1" x14ac:dyDescent="0.25">
      <c r="A63" s="559">
        <v>2</v>
      </c>
      <c r="B63" s="334" t="s">
        <v>416</v>
      </c>
      <c r="C63" s="334" t="s">
        <v>347</v>
      </c>
      <c r="D63" s="560">
        <v>4.32</v>
      </c>
      <c r="E63" s="561"/>
      <c r="F63" s="561">
        <v>0.5</v>
      </c>
      <c r="G63" s="562"/>
      <c r="H63" s="563"/>
      <c r="I63" s="564">
        <v>0.22</v>
      </c>
      <c r="J63" s="565">
        <f t="shared" si="24"/>
        <v>1.0604</v>
      </c>
      <c r="K63" s="566">
        <f t="shared" si="25"/>
        <v>2.41</v>
      </c>
      <c r="L63" s="560">
        <v>4.34</v>
      </c>
      <c r="M63" s="561"/>
      <c r="N63" s="561">
        <v>0.5</v>
      </c>
      <c r="O63" s="562"/>
      <c r="P63" s="563"/>
      <c r="Q63" s="564"/>
      <c r="R63" s="563"/>
      <c r="S63" s="564">
        <v>0.22</v>
      </c>
      <c r="T63" s="565">
        <f t="shared" si="26"/>
        <v>1.0648</v>
      </c>
      <c r="U63" s="606">
        <f t="shared" si="27"/>
        <v>2.42</v>
      </c>
      <c r="V63" s="561">
        <f t="shared" si="28"/>
        <v>1.9999999999999574E-2</v>
      </c>
      <c r="W63" s="561"/>
      <c r="X63" s="561"/>
      <c r="Y63" s="562"/>
      <c r="Z63" s="563"/>
      <c r="AA63" s="563"/>
      <c r="AB63" s="563"/>
      <c r="AC63" s="564"/>
      <c r="AD63" s="565">
        <f t="shared" si="29"/>
        <v>4.4000000000000003E-3</v>
      </c>
      <c r="AE63" s="565">
        <f t="shared" si="30"/>
        <v>9.9999999999997868E-3</v>
      </c>
      <c r="AF63" s="565" t="s">
        <v>418</v>
      </c>
      <c r="AG63" s="568">
        <v>4</v>
      </c>
      <c r="AH63" s="565"/>
      <c r="AI63" s="565">
        <f t="shared" si="31"/>
        <v>7.9999999999998295E-2</v>
      </c>
      <c r="AJ63" s="565">
        <f t="shared" si="32"/>
        <v>1.7600000000000001E-2</v>
      </c>
      <c r="AK63" s="568">
        <f t="shared" si="33"/>
        <v>0</v>
      </c>
      <c r="AL63" s="565">
        <f t="shared" si="34"/>
        <v>9.7599999999998299E-2</v>
      </c>
      <c r="AM63" s="607">
        <f t="shared" si="35"/>
        <v>175680</v>
      </c>
      <c r="AN63" s="565">
        <f t="shared" si="36"/>
        <v>0.04</v>
      </c>
      <c r="AO63" s="607">
        <f t="shared" si="37"/>
        <v>72000</v>
      </c>
      <c r="AP63" s="571">
        <f t="shared" si="38"/>
        <v>878</v>
      </c>
      <c r="AQ63" s="571">
        <f t="shared" si="39"/>
        <v>29866</v>
      </c>
      <c r="AR63" s="571">
        <f t="shared" si="40"/>
        <v>14054</v>
      </c>
      <c r="AS63" s="571">
        <f t="shared" si="41"/>
        <v>5270</v>
      </c>
      <c r="AT63" s="571">
        <f t="shared" si="42"/>
        <v>2635</v>
      </c>
      <c r="AU63" s="571">
        <f t="shared" si="43"/>
        <v>1757</v>
      </c>
      <c r="AV63" s="571">
        <f t="shared" si="44"/>
        <v>1757</v>
      </c>
      <c r="AW63" s="571">
        <f t="shared" si="45"/>
        <v>3513.6</v>
      </c>
      <c r="AX63" s="571">
        <f t="shared" si="46"/>
        <v>229234</v>
      </c>
      <c r="AY63" s="572"/>
      <c r="AZ63" s="386"/>
      <c r="BA63" s="335" t="e">
        <f>#REF!-'[1]tinh lai tlinh dung  '!AZ111</f>
        <v>#REF!</v>
      </c>
      <c r="BB63" s="335">
        <f t="shared" si="47"/>
        <v>45846.8</v>
      </c>
      <c r="BC63" s="335"/>
      <c r="BD63" s="335"/>
      <c r="BE63" s="573"/>
      <c r="BF63" s="574"/>
    </row>
    <row r="64" spans="1:58" s="558" customFormat="1" ht="17.25" customHeight="1" x14ac:dyDescent="0.2">
      <c r="A64" s="762" t="s">
        <v>63</v>
      </c>
      <c r="B64" s="762"/>
      <c r="C64" s="549"/>
      <c r="D64" s="576">
        <f>SUM(D62:D63)</f>
        <v>8.64</v>
      </c>
      <c r="E64" s="576">
        <f>SUM(E62:E63)</f>
        <v>0</v>
      </c>
      <c r="F64" s="576">
        <f>SUM(F62:F63)</f>
        <v>1</v>
      </c>
      <c r="G64" s="576">
        <f>SUM(G62:G63)</f>
        <v>0</v>
      </c>
      <c r="H64" s="576"/>
      <c r="I64" s="576"/>
      <c r="J64" s="579">
        <f t="shared" ref="J64:P64" si="48">SUM(J62:J63)</f>
        <v>2.0726</v>
      </c>
      <c r="K64" s="579">
        <f t="shared" si="48"/>
        <v>4.82</v>
      </c>
      <c r="L64" s="576">
        <f t="shared" si="48"/>
        <v>8.68</v>
      </c>
      <c r="M64" s="576">
        <f t="shared" si="48"/>
        <v>0</v>
      </c>
      <c r="N64" s="576">
        <f t="shared" si="48"/>
        <v>1</v>
      </c>
      <c r="O64" s="576">
        <f t="shared" si="48"/>
        <v>0</v>
      </c>
      <c r="P64" s="576">
        <f t="shared" si="48"/>
        <v>0</v>
      </c>
      <c r="Q64" s="576"/>
      <c r="R64" s="576"/>
      <c r="S64" s="576"/>
      <c r="T64" s="579">
        <f t="shared" ref="T64:Z64" si="49">SUM(T62:T63)</f>
        <v>2.0811999999999999</v>
      </c>
      <c r="U64" s="579">
        <f t="shared" si="49"/>
        <v>4.84</v>
      </c>
      <c r="V64" s="579">
        <f t="shared" si="49"/>
        <v>3.9999999999999147E-2</v>
      </c>
      <c r="W64" s="579">
        <f t="shared" si="49"/>
        <v>0</v>
      </c>
      <c r="X64" s="579">
        <f t="shared" si="49"/>
        <v>0</v>
      </c>
      <c r="Y64" s="579">
        <f t="shared" si="49"/>
        <v>0</v>
      </c>
      <c r="Z64" s="579">
        <f t="shared" si="49"/>
        <v>0</v>
      </c>
      <c r="AA64" s="579"/>
      <c r="AB64" s="579"/>
      <c r="AC64" s="579"/>
      <c r="AD64" s="579">
        <f>SUM(AD62:AD63)</f>
        <v>8.6E-3</v>
      </c>
      <c r="AE64" s="579">
        <f>SUM(AE62:AE63)</f>
        <v>1.9999999999999574E-2</v>
      </c>
      <c r="AF64" s="576"/>
      <c r="AG64" s="576"/>
      <c r="AH64" s="576">
        <f t="shared" ref="AH64:AM64" si="50">SUM(AH62:AH63)</f>
        <v>0</v>
      </c>
      <c r="AI64" s="608">
        <f t="shared" si="50"/>
        <v>9.9999999999997868E-2</v>
      </c>
      <c r="AJ64" s="608">
        <f t="shared" si="50"/>
        <v>2.18E-2</v>
      </c>
      <c r="AK64" s="608">
        <f t="shared" si="50"/>
        <v>0</v>
      </c>
      <c r="AL64" s="608">
        <f t="shared" si="50"/>
        <v>0.12179999999999787</v>
      </c>
      <c r="AM64" s="388">
        <f t="shared" si="50"/>
        <v>219240</v>
      </c>
      <c r="AN64" s="609">
        <v>29.27</v>
      </c>
      <c r="AO64" s="337">
        <f t="shared" ref="AO64:BB64" si="51">SUM(AO62:AO63)</f>
        <v>90000</v>
      </c>
      <c r="AP64" s="337">
        <f t="shared" si="51"/>
        <v>1096</v>
      </c>
      <c r="AQ64" s="337">
        <f t="shared" si="51"/>
        <v>37271</v>
      </c>
      <c r="AR64" s="337">
        <f t="shared" si="51"/>
        <v>17539</v>
      </c>
      <c r="AS64" s="337">
        <f t="shared" si="51"/>
        <v>6577</v>
      </c>
      <c r="AT64" s="337">
        <f t="shared" si="51"/>
        <v>3288</v>
      </c>
      <c r="AU64" s="337">
        <f t="shared" si="51"/>
        <v>2193</v>
      </c>
      <c r="AV64" s="337">
        <f t="shared" si="51"/>
        <v>2193</v>
      </c>
      <c r="AW64" s="337">
        <f t="shared" si="51"/>
        <v>4384.8</v>
      </c>
      <c r="AX64" s="337">
        <f t="shared" si="51"/>
        <v>286220</v>
      </c>
      <c r="AY64" s="337">
        <f t="shared" si="51"/>
        <v>0</v>
      </c>
      <c r="AZ64" s="337">
        <f t="shared" si="51"/>
        <v>286220</v>
      </c>
      <c r="BA64" s="337" t="e">
        <f t="shared" si="51"/>
        <v>#REF!</v>
      </c>
      <c r="BB64" s="337">
        <f t="shared" si="51"/>
        <v>57244</v>
      </c>
      <c r="BC64" s="337" t="e">
        <f>#REF!-AX64</f>
        <v>#REF!</v>
      </c>
      <c r="BD64" s="337"/>
      <c r="BE64" s="557"/>
      <c r="BF64" s="302"/>
    </row>
    <row r="65" spans="1:59" s="521" customFormat="1" ht="4.5" customHeight="1" x14ac:dyDescent="0.3">
      <c r="A65" s="580"/>
      <c r="C65" s="73"/>
      <c r="D65" s="73"/>
      <c r="H65" s="522"/>
      <c r="J65" s="522"/>
      <c r="P65" s="522"/>
      <c r="Q65" s="522"/>
      <c r="R65" s="522"/>
      <c r="T65" s="522"/>
      <c r="U65" s="73"/>
      <c r="Z65" s="522"/>
      <c r="AA65" s="522"/>
      <c r="AB65" s="522"/>
      <c r="AD65" s="522"/>
      <c r="AE65" s="522"/>
      <c r="AF65" s="524"/>
      <c r="AG65" s="522"/>
      <c r="AH65" s="520"/>
      <c r="AI65" s="520"/>
      <c r="AJ65" s="520"/>
      <c r="AK65" s="520"/>
      <c r="AL65" s="520"/>
      <c r="AM65" s="525"/>
      <c r="AN65" s="520"/>
      <c r="AO65" s="526"/>
      <c r="AX65" s="581"/>
      <c r="BE65" s="557"/>
      <c r="BF65" s="49"/>
    </row>
    <row r="66" spans="1:59" s="583" customFormat="1" x14ac:dyDescent="0.3">
      <c r="A66" s="763" t="s">
        <v>419</v>
      </c>
      <c r="B66" s="763"/>
      <c r="C66" s="763"/>
      <c r="D66" s="763"/>
      <c r="E66" s="763"/>
      <c r="F66" s="763"/>
      <c r="G66" s="763"/>
      <c r="H66" s="763"/>
      <c r="I66" s="763"/>
      <c r="J66" s="763"/>
      <c r="K66" s="763"/>
      <c r="L66" s="763"/>
      <c r="M66" s="763"/>
      <c r="N66" s="763"/>
      <c r="O66" s="763"/>
      <c r="P66" s="763"/>
      <c r="Q66" s="763"/>
      <c r="R66" s="763"/>
      <c r="S66" s="763"/>
      <c r="T66" s="763"/>
      <c r="U66" s="763"/>
      <c r="V66" s="763"/>
      <c r="W66" s="763"/>
      <c r="X66" s="763"/>
      <c r="Y66" s="763"/>
      <c r="Z66" s="763"/>
      <c r="AA66" s="763"/>
      <c r="AB66" s="763"/>
      <c r="AC66" s="763"/>
      <c r="AD66" s="763"/>
      <c r="AE66" s="763"/>
      <c r="AF66" s="763"/>
      <c r="AG66" s="763"/>
      <c r="AH66" s="763"/>
      <c r="AI66" s="763"/>
      <c r="AJ66" s="763"/>
      <c r="AK66" s="763"/>
      <c r="AL66" s="763"/>
      <c r="AM66" s="763"/>
      <c r="AN66" s="763"/>
      <c r="AO66" s="763"/>
      <c r="AP66" s="763"/>
      <c r="AQ66" s="763"/>
      <c r="AR66" s="763"/>
      <c r="AS66" s="763"/>
      <c r="AT66" s="763"/>
      <c r="AU66" s="763"/>
      <c r="AV66" s="763"/>
      <c r="AW66" s="763"/>
      <c r="AX66" s="582"/>
      <c r="AZ66" s="584"/>
      <c r="BC66" s="121"/>
      <c r="BE66" s="121"/>
      <c r="BF66" s="49"/>
    </row>
    <row r="67" spans="1:59" s="586" customFormat="1" x14ac:dyDescent="0.3">
      <c r="A67" s="585"/>
      <c r="C67" s="73"/>
      <c r="D67" s="73"/>
      <c r="J67" s="587"/>
      <c r="T67" s="587"/>
      <c r="U67" s="73"/>
      <c r="AD67" s="587"/>
      <c r="AE67" s="587"/>
      <c r="AF67" s="524"/>
      <c r="AG67" s="587"/>
      <c r="AM67" s="588"/>
      <c r="AO67" s="588"/>
      <c r="AR67" s="589"/>
      <c r="AT67" s="589" t="s">
        <v>420</v>
      </c>
      <c r="AU67" s="589"/>
      <c r="AV67" s="589"/>
      <c r="AW67" s="589"/>
      <c r="AX67" s="589"/>
      <c r="AY67" s="589"/>
      <c r="AZ67" s="589"/>
      <c r="BA67" s="589"/>
      <c r="BB67" s="589"/>
      <c r="BC67" s="589"/>
      <c r="BD67" s="589"/>
      <c r="BE67" s="589"/>
      <c r="BF67" s="49"/>
    </row>
    <row r="68" spans="1:59" s="338" customFormat="1" x14ac:dyDescent="0.3">
      <c r="A68" s="590"/>
      <c r="C68" s="764"/>
      <c r="D68" s="764"/>
      <c r="E68" s="764"/>
      <c r="F68" s="511"/>
      <c r="J68" s="591"/>
      <c r="N68" s="511"/>
      <c r="Q68" s="338" t="s">
        <v>412</v>
      </c>
      <c r="T68" s="591"/>
      <c r="U68" s="592"/>
      <c r="X68" s="511"/>
      <c r="AD68" s="591"/>
      <c r="AE68" s="591"/>
      <c r="AF68" s="684" t="s">
        <v>413</v>
      </c>
      <c r="AG68" s="684"/>
      <c r="AH68" s="684"/>
      <c r="AI68" s="684"/>
      <c r="AJ68" s="684"/>
      <c r="AK68" s="684"/>
      <c r="AL68" s="684"/>
      <c r="AM68" s="684"/>
      <c r="AO68" s="593"/>
      <c r="AR68" s="684"/>
      <c r="AS68" s="684"/>
      <c r="AU68" s="594" t="s">
        <v>414</v>
      </c>
      <c r="AV68" s="594"/>
      <c r="AW68" s="594"/>
      <c r="AX68" s="594"/>
      <c r="AY68" s="594"/>
      <c r="AZ68" s="594"/>
      <c r="BA68" s="594"/>
      <c r="BB68" s="594"/>
      <c r="BC68" s="594"/>
      <c r="BD68" s="594"/>
      <c r="BE68" s="594"/>
      <c r="BF68" s="49"/>
    </row>
    <row r="69" spans="1:59" s="521" customFormat="1" x14ac:dyDescent="0.3">
      <c r="A69" s="580"/>
      <c r="C69" s="767"/>
      <c r="D69" s="767"/>
      <c r="E69" s="767"/>
      <c r="F69" s="595"/>
      <c r="H69" s="522"/>
      <c r="J69" s="522"/>
      <c r="K69" s="520"/>
      <c r="L69" s="520"/>
      <c r="M69" s="520"/>
      <c r="N69" s="595"/>
      <c r="P69" s="522"/>
      <c r="Q69" s="522"/>
      <c r="R69" s="522"/>
      <c r="T69" s="522"/>
      <c r="U69" s="523"/>
      <c r="V69" s="520"/>
      <c r="W69" s="520"/>
      <c r="X69" s="595"/>
      <c r="Z69" s="522"/>
      <c r="AA69" s="522"/>
      <c r="AB69" s="522"/>
      <c r="AD69" s="522"/>
      <c r="AE69" s="522"/>
      <c r="AF69" s="768"/>
      <c r="AG69" s="768"/>
      <c r="AH69" s="768"/>
      <c r="AI69" s="768"/>
      <c r="AJ69" s="768"/>
      <c r="AK69" s="768"/>
      <c r="AL69" s="768"/>
      <c r="AM69" s="768"/>
      <c r="AN69" s="520"/>
      <c r="AO69" s="596"/>
      <c r="AR69" s="768"/>
      <c r="AS69" s="768"/>
      <c r="AT69" s="597"/>
      <c r="AX69" s="73"/>
      <c r="BF69" s="49"/>
    </row>
    <row r="70" spans="1:59" s="521" customFormat="1" ht="45" customHeight="1" x14ac:dyDescent="0.3">
      <c r="A70" s="580"/>
      <c r="C70" s="73"/>
      <c r="D70" s="73"/>
      <c r="H70" s="522"/>
      <c r="J70" s="522"/>
      <c r="P70" s="522"/>
      <c r="Q70" s="522"/>
      <c r="R70" s="522"/>
      <c r="T70" s="522"/>
      <c r="U70" s="73"/>
      <c r="Z70" s="522"/>
      <c r="AA70" s="522"/>
      <c r="AB70" s="522"/>
      <c r="AD70" s="522"/>
      <c r="AE70" s="522"/>
      <c r="AF70" s="524"/>
      <c r="AL70" s="520"/>
      <c r="AM70" s="525"/>
      <c r="AN70" s="520"/>
      <c r="AO70" s="596"/>
      <c r="BE70" s="557"/>
      <c r="BF70" s="49"/>
      <c r="BG70" s="598"/>
    </row>
    <row r="71" spans="1:59" s="338" customFormat="1" x14ac:dyDescent="0.3">
      <c r="A71" s="590"/>
      <c r="B71" s="764"/>
      <c r="C71" s="764"/>
      <c r="D71" s="764"/>
      <c r="E71" s="764"/>
      <c r="F71" s="764"/>
      <c r="G71" s="764"/>
      <c r="H71" s="764"/>
      <c r="I71" s="764"/>
      <c r="J71" s="764"/>
      <c r="K71" s="599"/>
      <c r="L71" s="599"/>
      <c r="M71" s="599"/>
      <c r="N71" s="594" t="s">
        <v>174</v>
      </c>
      <c r="O71" s="594"/>
      <c r="P71" s="594"/>
      <c r="Q71" s="594"/>
      <c r="R71" s="594"/>
      <c r="S71" s="594"/>
      <c r="T71" s="591"/>
      <c r="U71" s="600"/>
      <c r="V71" s="599"/>
      <c r="W71" s="599"/>
      <c r="X71" s="511"/>
      <c r="Z71" s="591"/>
      <c r="AA71" s="591"/>
      <c r="AB71" s="591"/>
      <c r="AD71" s="591"/>
      <c r="AE71" s="591"/>
      <c r="AF71" s="601"/>
      <c r="AG71" s="684" t="s">
        <v>174</v>
      </c>
      <c r="AH71" s="684"/>
      <c r="AI71" s="684"/>
      <c r="AJ71" s="684"/>
      <c r="AK71" s="684"/>
      <c r="AL71" s="684"/>
      <c r="AM71" s="602"/>
      <c r="AN71" s="599"/>
      <c r="AO71" s="593"/>
      <c r="AQ71" s="594"/>
      <c r="AR71" s="594"/>
      <c r="AS71" s="594"/>
      <c r="AT71" s="594"/>
      <c r="AU71" s="594" t="s">
        <v>350</v>
      </c>
      <c r="AV71" s="594"/>
      <c r="AW71" s="594"/>
      <c r="AX71" s="594"/>
      <c r="BE71" s="203"/>
      <c r="BF71" s="49"/>
    </row>
    <row r="72" spans="1:59" s="521" customFormat="1" x14ac:dyDescent="0.3">
      <c r="A72" s="580"/>
      <c r="B72" s="338"/>
      <c r="C72" s="592"/>
      <c r="D72" s="592"/>
      <c r="E72" s="338"/>
      <c r="F72" s="338"/>
      <c r="G72" s="338"/>
      <c r="H72" s="591"/>
      <c r="I72" s="338"/>
      <c r="J72" s="591"/>
      <c r="K72" s="338"/>
      <c r="L72" s="338"/>
      <c r="M72" s="338"/>
      <c r="N72" s="338"/>
      <c r="O72" s="338"/>
      <c r="P72" s="591"/>
      <c r="Q72" s="591"/>
      <c r="R72" s="591"/>
      <c r="S72" s="338"/>
      <c r="T72" s="591"/>
      <c r="U72" s="592"/>
      <c r="V72" s="338"/>
      <c r="W72" s="338"/>
      <c r="X72" s="338"/>
      <c r="Y72" s="338"/>
      <c r="Z72" s="591"/>
      <c r="AA72" s="591"/>
      <c r="AB72" s="591"/>
      <c r="AC72" s="338"/>
      <c r="AD72" s="591"/>
      <c r="AE72" s="591"/>
      <c r="AF72" s="601"/>
      <c r="AG72" s="591"/>
      <c r="AH72" s="599"/>
      <c r="AI72" s="599"/>
      <c r="AJ72" s="599"/>
      <c r="AK72" s="599"/>
      <c r="AL72" s="599"/>
      <c r="AM72" s="602"/>
      <c r="AN72" s="599"/>
      <c r="AO72" s="526"/>
      <c r="BE72" s="203"/>
      <c r="BF72" s="49"/>
    </row>
    <row r="73" spans="1:59" s="521" customFormat="1" x14ac:dyDescent="0.3">
      <c r="A73" s="580"/>
      <c r="C73" s="73"/>
      <c r="D73" s="73"/>
      <c r="J73" s="522"/>
      <c r="T73" s="522"/>
      <c r="U73" s="73"/>
      <c r="AD73" s="522"/>
      <c r="AE73" s="522"/>
      <c r="AF73" s="524"/>
      <c r="AG73" s="522"/>
      <c r="AM73" s="526"/>
      <c r="AO73" s="526"/>
      <c r="BE73" s="203"/>
      <c r="BF73" s="49"/>
    </row>
    <row r="74" spans="1:59" s="521" customFormat="1" x14ac:dyDescent="0.3">
      <c r="A74" s="580"/>
      <c r="C74" s="73"/>
      <c r="D74" s="73"/>
      <c r="H74" s="522"/>
      <c r="J74" s="522"/>
      <c r="P74" s="522"/>
      <c r="Q74" s="522"/>
      <c r="R74" s="522"/>
      <c r="T74" s="522"/>
      <c r="U74" s="73"/>
      <c r="Z74" s="522"/>
      <c r="AA74" s="522"/>
      <c r="AB74" s="522"/>
      <c r="AD74" s="522"/>
      <c r="AE74" s="522"/>
      <c r="AF74" s="524"/>
      <c r="AG74" s="522"/>
      <c r="AH74" s="520"/>
      <c r="AI74" s="520"/>
      <c r="AJ74" s="520"/>
      <c r="AK74" s="520"/>
      <c r="AL74" s="520"/>
      <c r="AM74" s="525"/>
      <c r="AN74" s="520"/>
      <c r="AO74" s="526"/>
      <c r="BE74" s="121"/>
      <c r="BF74" s="49"/>
    </row>
    <row r="75" spans="1:59" x14ac:dyDescent="0.3">
      <c r="BE75" s="760"/>
    </row>
    <row r="76" spans="1:59" x14ac:dyDescent="0.3">
      <c r="BE76" s="760"/>
    </row>
    <row r="77" spans="1:59" x14ac:dyDescent="0.3">
      <c r="BE77" s="760"/>
      <c r="BF77" s="604"/>
    </row>
    <row r="78" spans="1:59" x14ac:dyDescent="0.3">
      <c r="BE78" s="760"/>
    </row>
    <row r="79" spans="1:59" ht="19.5" customHeight="1" x14ac:dyDescent="0.3">
      <c r="BE79" s="760"/>
    </row>
    <row r="80" spans="1:59" ht="19.5" customHeight="1" x14ac:dyDescent="0.3">
      <c r="BE80" s="760"/>
    </row>
    <row r="81" spans="57:57" x14ac:dyDescent="0.3">
      <c r="BE81" s="760"/>
    </row>
    <row r="82" spans="57:57" x14ac:dyDescent="0.3">
      <c r="BE82" s="760"/>
    </row>
    <row r="83" spans="57:57" x14ac:dyDescent="0.3">
      <c r="BE83" s="760"/>
    </row>
    <row r="84" spans="57:57" x14ac:dyDescent="0.3">
      <c r="BE84" s="760"/>
    </row>
    <row r="85" spans="57:57" x14ac:dyDescent="0.3">
      <c r="BE85" s="605"/>
    </row>
    <row r="86" spans="57:57" x14ac:dyDescent="0.3">
      <c r="BE86" s="605"/>
    </row>
    <row r="87" spans="57:57" x14ac:dyDescent="0.3">
      <c r="BE87" s="605"/>
    </row>
  </sheetData>
  <mergeCells count="121">
    <mergeCell ref="G60:H60"/>
    <mergeCell ref="I60:J60"/>
    <mergeCell ref="O60:P60"/>
    <mergeCell ref="B71:J71"/>
    <mergeCell ref="AG71:AL71"/>
    <mergeCell ref="BE75:BE84"/>
    <mergeCell ref="A64:B64"/>
    <mergeCell ref="A66:AW66"/>
    <mergeCell ref="C68:E68"/>
    <mergeCell ref="AF68:AM68"/>
    <mergeCell ref="AR68:AS68"/>
    <mergeCell ref="C69:E69"/>
    <mergeCell ref="AF69:AM69"/>
    <mergeCell ref="AR69:AS69"/>
    <mergeCell ref="S60:T60"/>
    <mergeCell ref="Y60:Z60"/>
    <mergeCell ref="AC60:AD60"/>
    <mergeCell ref="S58:T58"/>
    <mergeCell ref="U58:U59"/>
    <mergeCell ref="V58:V59"/>
    <mergeCell ref="W58:W59"/>
    <mergeCell ref="X58:X59"/>
    <mergeCell ref="Y58:Z58"/>
    <mergeCell ref="BE35:BE57"/>
    <mergeCell ref="A54:J54"/>
    <mergeCell ref="A55:J55"/>
    <mergeCell ref="A56:AY56"/>
    <mergeCell ref="A57:A59"/>
    <mergeCell ref="B57:B59"/>
    <mergeCell ref="C57:C59"/>
    <mergeCell ref="D57:K57"/>
    <mergeCell ref="L57:U57"/>
    <mergeCell ref="V57:AE57"/>
    <mergeCell ref="AS57:AT58"/>
    <mergeCell ref="AU57:AV58"/>
    <mergeCell ref="AW57:AW58"/>
    <mergeCell ref="AX57:AX59"/>
    <mergeCell ref="AY57:AY59"/>
    <mergeCell ref="D58:D59"/>
    <mergeCell ref="E58:E59"/>
    <mergeCell ref="F58:F59"/>
    <mergeCell ref="G58:H58"/>
    <mergeCell ref="I58:J58"/>
    <mergeCell ref="O58:P58"/>
    <mergeCell ref="Q58:R58"/>
    <mergeCell ref="AP57:AP59"/>
    <mergeCell ref="AQ57:AR58"/>
    <mergeCell ref="AL57:AL59"/>
    <mergeCell ref="AM57:AM59"/>
    <mergeCell ref="AN57:AN59"/>
    <mergeCell ref="AO57:AO59"/>
    <mergeCell ref="C16:E16"/>
    <mergeCell ref="AF16:AM16"/>
    <mergeCell ref="AR16:AS16"/>
    <mergeCell ref="B18:J18"/>
    <mergeCell ref="AG18:AL18"/>
    <mergeCell ref="K58:K59"/>
    <mergeCell ref="L58:L59"/>
    <mergeCell ref="M58:M59"/>
    <mergeCell ref="N58:N59"/>
    <mergeCell ref="AF57:AF59"/>
    <mergeCell ref="AG57:AG59"/>
    <mergeCell ref="AH57:AH59"/>
    <mergeCell ref="AI57:AI59"/>
    <mergeCell ref="AJ57:AJ59"/>
    <mergeCell ref="AK57:AK59"/>
    <mergeCell ref="BE22:BE31"/>
    <mergeCell ref="AC7:AD7"/>
    <mergeCell ref="A11:B11"/>
    <mergeCell ref="A13:AW13"/>
    <mergeCell ref="C15:E15"/>
    <mergeCell ref="AF15:AM15"/>
    <mergeCell ref="AR15:AS15"/>
    <mergeCell ref="G7:H7"/>
    <mergeCell ref="I7:J7"/>
    <mergeCell ref="O7:P7"/>
    <mergeCell ref="S7:T7"/>
    <mergeCell ref="Y7:Z7"/>
    <mergeCell ref="L5:L6"/>
    <mergeCell ref="M5:M6"/>
    <mergeCell ref="N5:N6"/>
    <mergeCell ref="O5:P5"/>
    <mergeCell ref="Q5:R5"/>
    <mergeCell ref="S5:T5"/>
    <mergeCell ref="AQ4:AR5"/>
    <mergeCell ref="AS4:AT5"/>
    <mergeCell ref="AG4:AG6"/>
    <mergeCell ref="AH4:AH6"/>
    <mergeCell ref="AI4:AI6"/>
    <mergeCell ref="AJ4:AJ6"/>
    <mergeCell ref="AK4:AK6"/>
    <mergeCell ref="AL4:AL6"/>
    <mergeCell ref="U5:U6"/>
    <mergeCell ref="V5:V6"/>
    <mergeCell ref="W5:W6"/>
    <mergeCell ref="X5:X6"/>
    <mergeCell ref="Y5:Z5"/>
    <mergeCell ref="A1:J1"/>
    <mergeCell ref="A2:J2"/>
    <mergeCell ref="A3:AY3"/>
    <mergeCell ref="A4:A6"/>
    <mergeCell ref="B4:B6"/>
    <mergeCell ref="C4:C6"/>
    <mergeCell ref="D4:K4"/>
    <mergeCell ref="L4:U4"/>
    <mergeCell ref="V4:AE4"/>
    <mergeCell ref="AF4:AF6"/>
    <mergeCell ref="AU4:AV5"/>
    <mergeCell ref="AW4:AW5"/>
    <mergeCell ref="AX4:AX6"/>
    <mergeCell ref="AY4:AY6"/>
    <mergeCell ref="D5:D6"/>
    <mergeCell ref="E5:E6"/>
    <mergeCell ref="F5:F6"/>
    <mergeCell ref="G5:H5"/>
    <mergeCell ref="I5:J5"/>
    <mergeCell ref="K5:K6"/>
    <mergeCell ref="AM4:AM6"/>
    <mergeCell ref="AN4:AN6"/>
    <mergeCell ref="AO4:AO6"/>
    <mergeCell ref="AP4:AP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5"/>
  <sheetViews>
    <sheetView topLeftCell="AA1" workbookViewId="0">
      <selection sqref="A1:XFD1048576"/>
    </sheetView>
  </sheetViews>
  <sheetFormatPr defaultRowHeight="18.75" x14ac:dyDescent="0.3"/>
  <cols>
    <col min="1" max="1" width="2.33203125" style="78" customWidth="1"/>
    <col min="2" max="2" width="11.6640625" style="78" customWidth="1"/>
    <col min="3" max="3" width="7.44140625" style="603" customWidth="1"/>
    <col min="4" max="4" width="4.6640625" style="603" customWidth="1"/>
    <col min="5" max="5" width="0.5546875" style="78" hidden="1" customWidth="1"/>
    <col min="6" max="6" width="3.6640625" style="78" customWidth="1"/>
    <col min="7" max="7" width="1" style="78" hidden="1" customWidth="1"/>
    <col min="8" max="8" width="4.88671875" style="78" customWidth="1"/>
    <col min="9" max="9" width="3.5546875" style="78" customWidth="1"/>
    <col min="10" max="10" width="4.6640625" style="78" customWidth="1"/>
    <col min="11" max="11" width="4.77734375" style="78" customWidth="1"/>
    <col min="12" max="12" width="4.33203125" style="78" customWidth="1"/>
    <col min="13" max="13" width="4.44140625" style="78" hidden="1" customWidth="1"/>
    <col min="14" max="14" width="3.6640625" style="78" customWidth="1"/>
    <col min="15" max="15" width="7.109375" style="78" hidden="1" customWidth="1"/>
    <col min="16" max="16" width="0.88671875" style="78" hidden="1" customWidth="1"/>
    <col min="17" max="17" width="3.44140625" style="78" customWidth="1"/>
    <col min="18" max="18" width="4.33203125" style="78" customWidth="1"/>
    <col min="19" max="19" width="3.21875" style="78" customWidth="1"/>
    <col min="20" max="20" width="4.5546875" style="78" customWidth="1"/>
    <col min="21" max="21" width="6.21875" style="603" customWidth="1"/>
    <col min="22" max="22" width="4.77734375" style="78" customWidth="1"/>
    <col min="23" max="23" width="5.44140625" style="78" hidden="1" customWidth="1"/>
    <col min="24" max="24" width="5" style="78" hidden="1" customWidth="1"/>
    <col min="25" max="25" width="0.109375" style="78" hidden="1" customWidth="1"/>
    <col min="26" max="26" width="7.109375" style="78" hidden="1" customWidth="1"/>
    <col min="27" max="27" width="2.88671875" style="78" customWidth="1"/>
    <col min="28" max="28" width="5.33203125" style="78" customWidth="1"/>
    <col min="29" max="29" width="2.77734375" style="78" customWidth="1"/>
    <col min="30" max="30" width="4.88671875" style="78" customWidth="1"/>
    <col min="31" max="31" width="5.109375" style="78" customWidth="1"/>
    <col min="32" max="32" width="8.6640625" style="603" customWidth="1"/>
    <col min="33" max="33" width="3.21875" style="78" customWidth="1"/>
    <col min="34" max="34" width="1.109375" style="78" hidden="1" customWidth="1"/>
    <col min="35" max="35" width="5.88671875" style="78" customWidth="1"/>
    <col min="36" max="36" width="5.109375" style="78" customWidth="1"/>
    <col min="37" max="37" width="6.33203125" style="78" customWidth="1"/>
    <col min="38" max="38" width="5.33203125" style="78" customWidth="1"/>
    <col min="39" max="39" width="7.21875" style="78" customWidth="1"/>
    <col min="40" max="40" width="4.88671875" style="78" customWidth="1"/>
    <col min="41" max="41" width="7.33203125" style="78" customWidth="1"/>
    <col min="42" max="42" width="5.5546875" style="78" customWidth="1"/>
    <col min="43" max="43" width="6.21875" style="78" customWidth="1"/>
    <col min="44" max="44" width="6.109375" style="78" customWidth="1"/>
    <col min="45" max="45" width="5.33203125" style="78" customWidth="1"/>
    <col min="46" max="46" width="6.33203125" style="78" customWidth="1"/>
    <col min="47" max="47" width="5.44140625" style="78" customWidth="1"/>
    <col min="48" max="48" width="6.77734375" style="78" customWidth="1"/>
    <col min="49" max="49" width="6" style="78" customWidth="1"/>
    <col min="50" max="50" width="6.5546875" style="78" customWidth="1"/>
    <col min="51" max="51" width="5.44140625" style="78" customWidth="1"/>
    <col min="52" max="52" width="11.109375" style="78" customWidth="1"/>
    <col min="53" max="53" width="16.6640625" style="78" customWidth="1"/>
    <col min="54" max="54" width="7.5546875" style="78" customWidth="1"/>
    <col min="55" max="55" width="8.88671875" style="78" customWidth="1"/>
    <col min="56" max="56" width="7.5546875" style="78" customWidth="1"/>
    <col min="57" max="57" width="12.5546875" style="49" customWidth="1"/>
    <col min="58" max="58" width="6.21875" style="49" customWidth="1"/>
    <col min="59" max="59" width="10.109375" style="78" bestFit="1" customWidth="1"/>
    <col min="60" max="16384" width="8.88671875" style="78"/>
  </cols>
  <sheetData>
    <row r="1" spans="1:58" s="521" customFormat="1" x14ac:dyDescent="0.3">
      <c r="A1" s="736" t="s">
        <v>28</v>
      </c>
      <c r="B1" s="736"/>
      <c r="C1" s="736"/>
      <c r="D1" s="736"/>
      <c r="E1" s="736"/>
      <c r="F1" s="736"/>
      <c r="G1" s="736"/>
      <c r="H1" s="736"/>
      <c r="I1" s="736"/>
      <c r="J1" s="736"/>
      <c r="K1" s="520"/>
      <c r="L1" s="520"/>
      <c r="M1" s="520"/>
      <c r="N1" s="520"/>
      <c r="O1" s="520"/>
      <c r="P1" s="520"/>
      <c r="Q1" s="520"/>
      <c r="R1" s="520"/>
      <c r="T1" s="522"/>
      <c r="U1" s="523"/>
      <c r="V1" s="520"/>
      <c r="W1" s="520"/>
      <c r="X1" s="520"/>
      <c r="Y1" s="520"/>
      <c r="Z1" s="520"/>
      <c r="AA1" s="520"/>
      <c r="AB1" s="520"/>
      <c r="AD1" s="522"/>
      <c r="AE1" s="522"/>
      <c r="AF1" s="524"/>
      <c r="AG1" s="522"/>
      <c r="AH1" s="520"/>
      <c r="AI1" s="520"/>
      <c r="AJ1" s="520"/>
      <c r="AK1" s="520"/>
      <c r="AL1" s="520"/>
      <c r="AM1" s="525"/>
      <c r="AN1" s="520"/>
      <c r="AO1" s="526"/>
      <c r="AX1" s="511"/>
      <c r="BE1" s="49"/>
      <c r="BF1" s="58"/>
    </row>
    <row r="2" spans="1:58" s="521" customFormat="1" x14ac:dyDescent="0.3">
      <c r="A2" s="737" t="s">
        <v>30</v>
      </c>
      <c r="B2" s="737"/>
      <c r="C2" s="737"/>
      <c r="D2" s="737"/>
      <c r="E2" s="737"/>
      <c r="F2" s="737"/>
      <c r="G2" s="737"/>
      <c r="H2" s="737"/>
      <c r="I2" s="737"/>
      <c r="J2" s="737"/>
      <c r="K2" s="520"/>
      <c r="L2" s="520"/>
      <c r="M2" s="520"/>
      <c r="N2" s="520"/>
      <c r="O2" s="520"/>
      <c r="P2" s="520"/>
      <c r="Q2" s="520"/>
      <c r="R2" s="520"/>
      <c r="T2" s="522"/>
      <c r="U2" s="523"/>
      <c r="V2" s="520"/>
      <c r="W2" s="520"/>
      <c r="X2" s="520"/>
      <c r="Y2" s="520"/>
      <c r="Z2" s="520"/>
      <c r="AA2" s="520"/>
      <c r="AB2" s="520"/>
      <c r="AD2" s="522"/>
      <c r="AE2" s="522"/>
      <c r="AF2" s="524"/>
      <c r="AG2" s="522"/>
      <c r="AH2" s="520"/>
      <c r="AI2" s="520"/>
      <c r="AJ2" s="520"/>
      <c r="AK2" s="520"/>
      <c r="AL2" s="520"/>
      <c r="AM2" s="525"/>
      <c r="AN2" s="520"/>
      <c r="AO2" s="526"/>
      <c r="BE2" s="49"/>
      <c r="BF2" s="58"/>
    </row>
    <row r="3" spans="1:58" s="528" customFormat="1" ht="63.75" customHeight="1" x14ac:dyDescent="0.3">
      <c r="A3" s="738" t="s">
        <v>421</v>
      </c>
      <c r="B3" s="738"/>
      <c r="C3" s="738"/>
      <c r="D3" s="738"/>
      <c r="E3" s="738"/>
      <c r="F3" s="738"/>
      <c r="G3" s="738"/>
      <c r="H3" s="738"/>
      <c r="I3" s="738"/>
      <c r="J3" s="738"/>
      <c r="K3" s="738"/>
      <c r="L3" s="738"/>
      <c r="M3" s="738"/>
      <c r="N3" s="738"/>
      <c r="O3" s="738"/>
      <c r="P3" s="738"/>
      <c r="Q3" s="738"/>
      <c r="R3" s="738"/>
      <c r="S3" s="738"/>
      <c r="T3" s="738"/>
      <c r="U3" s="738"/>
      <c r="V3" s="738"/>
      <c r="W3" s="738"/>
      <c r="X3" s="738"/>
      <c r="Y3" s="738"/>
      <c r="Z3" s="738"/>
      <c r="AA3" s="738"/>
      <c r="AB3" s="738"/>
      <c r="AC3" s="738"/>
      <c r="AD3" s="738"/>
      <c r="AE3" s="738"/>
      <c r="AF3" s="738"/>
      <c r="AG3" s="738"/>
      <c r="AH3" s="738"/>
      <c r="AI3" s="738"/>
      <c r="AJ3" s="738"/>
      <c r="AK3" s="738"/>
      <c r="AL3" s="738"/>
      <c r="AM3" s="738"/>
      <c r="AN3" s="738"/>
      <c r="AO3" s="738"/>
      <c r="AP3" s="738"/>
      <c r="AQ3" s="738"/>
      <c r="AR3" s="738"/>
      <c r="AS3" s="738"/>
      <c r="AT3" s="738"/>
      <c r="AU3" s="738"/>
      <c r="AV3" s="738"/>
      <c r="AW3" s="738"/>
      <c r="AX3" s="738"/>
      <c r="AY3" s="738"/>
      <c r="AZ3" s="527"/>
      <c r="BA3" s="527"/>
      <c r="BB3" s="527" t="s">
        <v>389</v>
      </c>
      <c r="BC3" s="527"/>
      <c r="BD3" s="527"/>
      <c r="BE3" s="49"/>
      <c r="BF3" s="58"/>
    </row>
    <row r="4" spans="1:58" s="531" customFormat="1" ht="20.25" customHeight="1" x14ac:dyDescent="0.3">
      <c r="A4" s="739" t="s">
        <v>390</v>
      </c>
      <c r="B4" s="739" t="s">
        <v>31</v>
      </c>
      <c r="C4" s="741" t="s">
        <v>32</v>
      </c>
      <c r="D4" s="742" t="s">
        <v>391</v>
      </c>
      <c r="E4" s="743"/>
      <c r="F4" s="743"/>
      <c r="G4" s="743"/>
      <c r="H4" s="743"/>
      <c r="I4" s="743"/>
      <c r="J4" s="743"/>
      <c r="K4" s="744"/>
      <c r="L4" s="742" t="s">
        <v>392</v>
      </c>
      <c r="M4" s="743"/>
      <c r="N4" s="743"/>
      <c r="O4" s="743"/>
      <c r="P4" s="743"/>
      <c r="Q4" s="743"/>
      <c r="R4" s="743"/>
      <c r="S4" s="743"/>
      <c r="T4" s="743"/>
      <c r="U4" s="744"/>
      <c r="V4" s="745" t="s">
        <v>393</v>
      </c>
      <c r="W4" s="746"/>
      <c r="X4" s="746"/>
      <c r="Y4" s="746"/>
      <c r="Z4" s="746"/>
      <c r="AA4" s="746"/>
      <c r="AB4" s="746"/>
      <c r="AC4" s="746"/>
      <c r="AD4" s="746"/>
      <c r="AE4" s="747"/>
      <c r="AF4" s="748" t="s">
        <v>394</v>
      </c>
      <c r="AG4" s="752" t="s">
        <v>395</v>
      </c>
      <c r="AH4" s="756" t="s">
        <v>396</v>
      </c>
      <c r="AI4" s="757" t="s">
        <v>397</v>
      </c>
      <c r="AJ4" s="757" t="s">
        <v>398</v>
      </c>
      <c r="AK4" s="757" t="s">
        <v>399</v>
      </c>
      <c r="AL4" s="754" t="s">
        <v>400</v>
      </c>
      <c r="AM4" s="741" t="s">
        <v>401</v>
      </c>
      <c r="AN4" s="754" t="s">
        <v>396</v>
      </c>
      <c r="AO4" s="755" t="s">
        <v>52</v>
      </c>
      <c r="AP4" s="741" t="s">
        <v>402</v>
      </c>
      <c r="AQ4" s="751" t="s">
        <v>40</v>
      </c>
      <c r="AR4" s="751"/>
      <c r="AS4" s="751" t="s">
        <v>41</v>
      </c>
      <c r="AT4" s="751"/>
      <c r="AU4" s="751" t="s">
        <v>42</v>
      </c>
      <c r="AV4" s="751"/>
      <c r="AW4" s="751" t="s">
        <v>43</v>
      </c>
      <c r="AX4" s="741" t="s">
        <v>46</v>
      </c>
      <c r="AY4" s="741" t="s">
        <v>47</v>
      </c>
      <c r="AZ4" s="529"/>
      <c r="BA4" s="529"/>
      <c r="BB4" s="530"/>
      <c r="BC4" s="530"/>
      <c r="BD4" s="530"/>
      <c r="BE4" s="516"/>
      <c r="BF4" s="58"/>
    </row>
    <row r="5" spans="1:58" s="536" customFormat="1" ht="25.5" customHeight="1" x14ac:dyDescent="0.2">
      <c r="A5" s="740"/>
      <c r="B5" s="739"/>
      <c r="C5" s="741"/>
      <c r="D5" s="752" t="s">
        <v>33</v>
      </c>
      <c r="E5" s="752" t="s">
        <v>34</v>
      </c>
      <c r="F5" s="752" t="s">
        <v>34</v>
      </c>
      <c r="G5" s="742" t="s">
        <v>35</v>
      </c>
      <c r="H5" s="744"/>
      <c r="I5" s="752" t="s">
        <v>35</v>
      </c>
      <c r="J5" s="752"/>
      <c r="K5" s="752" t="s">
        <v>403</v>
      </c>
      <c r="L5" s="752" t="s">
        <v>33</v>
      </c>
      <c r="M5" s="752" t="s">
        <v>34</v>
      </c>
      <c r="N5" s="752" t="s">
        <v>34</v>
      </c>
      <c r="O5" s="752" t="s">
        <v>35</v>
      </c>
      <c r="P5" s="752"/>
      <c r="Q5" s="752" t="s">
        <v>35</v>
      </c>
      <c r="R5" s="752"/>
      <c r="S5" s="752" t="s">
        <v>35</v>
      </c>
      <c r="T5" s="752"/>
      <c r="U5" s="752" t="s">
        <v>403</v>
      </c>
      <c r="V5" s="752" t="s">
        <v>33</v>
      </c>
      <c r="W5" s="758" t="s">
        <v>34</v>
      </c>
      <c r="X5" s="752" t="s">
        <v>34</v>
      </c>
      <c r="Y5" s="752" t="s">
        <v>35</v>
      </c>
      <c r="Z5" s="752"/>
      <c r="AA5" s="532"/>
      <c r="AB5" s="532"/>
      <c r="AC5" s="533" t="s">
        <v>35</v>
      </c>
      <c r="AD5" s="533"/>
      <c r="AE5" s="533"/>
      <c r="AF5" s="749"/>
      <c r="AG5" s="752"/>
      <c r="AH5" s="756"/>
      <c r="AI5" s="757"/>
      <c r="AJ5" s="757"/>
      <c r="AK5" s="757"/>
      <c r="AL5" s="754"/>
      <c r="AM5" s="741"/>
      <c r="AN5" s="754"/>
      <c r="AO5" s="755"/>
      <c r="AP5" s="741"/>
      <c r="AQ5" s="751"/>
      <c r="AR5" s="751"/>
      <c r="AS5" s="751"/>
      <c r="AT5" s="751"/>
      <c r="AU5" s="751"/>
      <c r="AV5" s="751"/>
      <c r="AW5" s="751"/>
      <c r="AX5" s="741"/>
      <c r="AY5" s="741"/>
      <c r="AZ5" s="534"/>
      <c r="BA5" s="534"/>
      <c r="BB5" s="535"/>
      <c r="BC5" s="535"/>
      <c r="BD5" s="535"/>
      <c r="BE5" s="507"/>
      <c r="BF5" s="58"/>
    </row>
    <row r="6" spans="1:58" s="543" customFormat="1" ht="90.75" customHeight="1" x14ac:dyDescent="0.2">
      <c r="A6" s="740"/>
      <c r="B6" s="739"/>
      <c r="C6" s="741"/>
      <c r="D6" s="753"/>
      <c r="E6" s="753"/>
      <c r="F6" s="753"/>
      <c r="G6" s="537" t="s">
        <v>48</v>
      </c>
      <c r="H6" s="538" t="s">
        <v>404</v>
      </c>
      <c r="I6" s="537" t="s">
        <v>48</v>
      </c>
      <c r="J6" s="538" t="s">
        <v>405</v>
      </c>
      <c r="K6" s="753"/>
      <c r="L6" s="753"/>
      <c r="M6" s="753"/>
      <c r="N6" s="753"/>
      <c r="O6" s="537" t="s">
        <v>48</v>
      </c>
      <c r="P6" s="538" t="s">
        <v>49</v>
      </c>
      <c r="Q6" s="537" t="s">
        <v>48</v>
      </c>
      <c r="R6" s="538" t="s">
        <v>49</v>
      </c>
      <c r="S6" s="537" t="s">
        <v>48</v>
      </c>
      <c r="T6" s="538" t="s">
        <v>50</v>
      </c>
      <c r="U6" s="753"/>
      <c r="V6" s="753"/>
      <c r="W6" s="759"/>
      <c r="X6" s="753"/>
      <c r="Y6" s="537" t="s">
        <v>48</v>
      </c>
      <c r="Z6" s="538" t="s">
        <v>49</v>
      </c>
      <c r="AA6" s="539" t="s">
        <v>48</v>
      </c>
      <c r="AB6" s="540" t="s">
        <v>406</v>
      </c>
      <c r="AC6" s="539" t="s">
        <v>48</v>
      </c>
      <c r="AD6" s="540" t="s">
        <v>50</v>
      </c>
      <c r="AE6" s="541" t="s">
        <v>403</v>
      </c>
      <c r="AF6" s="750"/>
      <c r="AG6" s="752"/>
      <c r="AH6" s="756"/>
      <c r="AI6" s="757"/>
      <c r="AJ6" s="757"/>
      <c r="AK6" s="757"/>
      <c r="AL6" s="754"/>
      <c r="AM6" s="741"/>
      <c r="AN6" s="754"/>
      <c r="AO6" s="755"/>
      <c r="AP6" s="741"/>
      <c r="AQ6" s="532" t="s">
        <v>69</v>
      </c>
      <c r="AR6" s="532" t="s">
        <v>53</v>
      </c>
      <c r="AS6" s="532" t="s">
        <v>54</v>
      </c>
      <c r="AT6" s="532" t="s">
        <v>55</v>
      </c>
      <c r="AU6" s="532" t="s">
        <v>56</v>
      </c>
      <c r="AV6" s="532" t="s">
        <v>57</v>
      </c>
      <c r="AW6" s="532" t="s">
        <v>58</v>
      </c>
      <c r="AX6" s="741"/>
      <c r="AY6" s="741"/>
      <c r="AZ6" s="534"/>
      <c r="BA6" s="534"/>
      <c r="BB6" s="535"/>
      <c r="BC6" s="535"/>
      <c r="BD6" s="535"/>
      <c r="BE6" s="504"/>
      <c r="BF6" s="542"/>
    </row>
    <row r="7" spans="1:58" s="547" customFormat="1" ht="11.25" customHeight="1" x14ac:dyDescent="0.2">
      <c r="A7" s="544" t="s">
        <v>1</v>
      </c>
      <c r="B7" s="544" t="s">
        <v>2</v>
      </c>
      <c r="C7" s="544" t="s">
        <v>59</v>
      </c>
      <c r="D7" s="544">
        <v>1</v>
      </c>
      <c r="E7" s="544">
        <v>2</v>
      </c>
      <c r="F7" s="544">
        <v>2</v>
      </c>
      <c r="G7" s="765">
        <v>3</v>
      </c>
      <c r="H7" s="766"/>
      <c r="I7" s="761">
        <v>3</v>
      </c>
      <c r="J7" s="761"/>
      <c r="K7" s="544">
        <v>4</v>
      </c>
      <c r="L7" s="544">
        <v>5</v>
      </c>
      <c r="M7" s="544">
        <v>2</v>
      </c>
      <c r="N7" s="544">
        <v>6</v>
      </c>
      <c r="O7" s="761">
        <v>3</v>
      </c>
      <c r="P7" s="761"/>
      <c r="Q7" s="544"/>
      <c r="R7" s="544"/>
      <c r="S7" s="761">
        <v>7</v>
      </c>
      <c r="T7" s="761"/>
      <c r="U7" s="544">
        <v>8</v>
      </c>
      <c r="V7" s="544">
        <v>9</v>
      </c>
      <c r="W7" s="544">
        <v>2</v>
      </c>
      <c r="X7" s="544"/>
      <c r="Y7" s="761">
        <v>3</v>
      </c>
      <c r="Z7" s="761"/>
      <c r="AA7" s="544"/>
      <c r="AB7" s="544"/>
      <c r="AC7" s="761">
        <v>10</v>
      </c>
      <c r="AD7" s="761"/>
      <c r="AE7" s="545">
        <v>11</v>
      </c>
      <c r="AF7" s="544">
        <v>12</v>
      </c>
      <c r="AG7" s="545">
        <v>13</v>
      </c>
      <c r="AH7" s="544">
        <v>14</v>
      </c>
      <c r="AI7" s="545">
        <v>15</v>
      </c>
      <c r="AJ7" s="544">
        <v>16</v>
      </c>
      <c r="AK7" s="544"/>
      <c r="AL7" s="545">
        <v>17</v>
      </c>
      <c r="AM7" s="544">
        <v>18</v>
      </c>
      <c r="AN7" s="545">
        <v>19</v>
      </c>
      <c r="AO7" s="544">
        <v>20</v>
      </c>
      <c r="AP7" s="545">
        <v>21</v>
      </c>
      <c r="AQ7" s="544">
        <v>22</v>
      </c>
      <c r="AR7" s="545">
        <v>23</v>
      </c>
      <c r="AS7" s="544">
        <v>24</v>
      </c>
      <c r="AT7" s="545">
        <v>25</v>
      </c>
      <c r="AU7" s="544">
        <v>26</v>
      </c>
      <c r="AV7" s="545">
        <v>27</v>
      </c>
      <c r="AW7" s="544">
        <v>28</v>
      </c>
      <c r="AX7" s="544">
        <v>32</v>
      </c>
      <c r="AY7" s="544" t="s">
        <v>60</v>
      </c>
      <c r="AZ7" s="546"/>
      <c r="BA7" s="546"/>
      <c r="BB7" s="546"/>
      <c r="BC7" s="546"/>
      <c r="BD7" s="546"/>
      <c r="BE7" s="396"/>
      <c r="BF7" s="58"/>
    </row>
    <row r="8" spans="1:58" s="558" customFormat="1" ht="20.25" customHeight="1" x14ac:dyDescent="0.3">
      <c r="A8" s="548" t="s">
        <v>61</v>
      </c>
      <c r="B8" s="549" t="s">
        <v>62</v>
      </c>
      <c r="C8" s="549"/>
      <c r="D8" s="550"/>
      <c r="E8" s="550"/>
      <c r="F8" s="550"/>
      <c r="G8" s="549"/>
      <c r="H8" s="551"/>
      <c r="I8" s="549"/>
      <c r="J8" s="552"/>
      <c r="K8" s="552"/>
      <c r="L8" s="553"/>
      <c r="M8" s="552"/>
      <c r="N8" s="552"/>
      <c r="O8" s="552"/>
      <c r="P8" s="552"/>
      <c r="Q8" s="552"/>
      <c r="R8" s="552"/>
      <c r="S8" s="549"/>
      <c r="T8" s="552"/>
      <c r="U8" s="552"/>
      <c r="V8" s="550"/>
      <c r="W8" s="549"/>
      <c r="X8" s="550"/>
      <c r="Y8" s="549"/>
      <c r="Z8" s="551"/>
      <c r="AA8" s="551"/>
      <c r="AB8" s="551"/>
      <c r="AC8" s="549"/>
      <c r="AD8" s="552"/>
      <c r="AE8" s="552"/>
      <c r="AF8" s="552"/>
      <c r="AG8" s="552"/>
      <c r="AH8" s="554"/>
      <c r="AI8" s="554"/>
      <c r="AJ8" s="554"/>
      <c r="AK8" s="554"/>
      <c r="AL8" s="554"/>
      <c r="AM8" s="555"/>
      <c r="AN8" s="554"/>
      <c r="AO8" s="555"/>
      <c r="AP8" s="555"/>
      <c r="AQ8" s="555"/>
      <c r="AR8" s="555"/>
      <c r="AS8" s="555"/>
      <c r="AT8" s="555"/>
      <c r="AU8" s="555"/>
      <c r="AV8" s="555"/>
      <c r="AW8" s="555"/>
      <c r="AX8" s="555"/>
      <c r="AY8" s="555"/>
      <c r="AZ8" s="556"/>
      <c r="BA8" s="556"/>
      <c r="BB8" s="556"/>
      <c r="BC8" s="556"/>
      <c r="BD8" s="556"/>
      <c r="BE8" s="557"/>
      <c r="BF8" s="107"/>
    </row>
    <row r="9" spans="1:58" s="575" customFormat="1" ht="17.25" customHeight="1" x14ac:dyDescent="0.25">
      <c r="A9" s="559">
        <v>1</v>
      </c>
      <c r="B9" s="334" t="s">
        <v>350</v>
      </c>
      <c r="C9" s="334" t="s">
        <v>346</v>
      </c>
      <c r="D9" s="560">
        <v>4.9800000000000004</v>
      </c>
      <c r="E9" s="561"/>
      <c r="F9" s="561">
        <v>0.5</v>
      </c>
      <c r="G9" s="562"/>
      <c r="H9" s="610">
        <f>(D9)*6%</f>
        <v>0.29880000000000001</v>
      </c>
      <c r="I9" s="564">
        <v>0.21</v>
      </c>
      <c r="J9" s="611">
        <f>ROUND((D9+F9+H9)*I9,4)</f>
        <v>1.2135</v>
      </c>
      <c r="K9" s="612">
        <f>ROUND((D9+F9+H9)*0.5,4)</f>
        <v>2.8894000000000002</v>
      </c>
      <c r="L9" s="613">
        <v>5.36</v>
      </c>
      <c r="M9" s="614"/>
      <c r="N9" s="614">
        <v>0.5</v>
      </c>
      <c r="O9" s="562"/>
      <c r="P9" s="563"/>
      <c r="Q9" s="564"/>
      <c r="R9" s="563"/>
      <c r="S9" s="564">
        <v>0.21</v>
      </c>
      <c r="T9" s="611">
        <f>ROUND((L9+N9)*S9,4)</f>
        <v>1.2305999999999999</v>
      </c>
      <c r="U9" s="615">
        <f t="shared" ref="U9:U10" si="0">ROUND((L9+N9+R9)*0.5,4)</f>
        <v>2.93</v>
      </c>
      <c r="V9" s="561">
        <f>L9-D9</f>
        <v>0.37999999999999989</v>
      </c>
      <c r="W9" s="561"/>
      <c r="X9" s="561"/>
      <c r="Y9" s="562"/>
      <c r="Z9" s="563"/>
      <c r="AA9" s="616" t="s">
        <v>351</v>
      </c>
      <c r="AB9" s="617">
        <f>-H9</f>
        <v>-0.29880000000000001</v>
      </c>
      <c r="AC9" s="564"/>
      <c r="AD9" s="565">
        <f>T9-J9</f>
        <v>1.7099999999999893E-2</v>
      </c>
      <c r="AE9" s="565">
        <f>U9-K9</f>
        <v>4.0599999999999969E-2</v>
      </c>
      <c r="AF9" s="565" t="s">
        <v>422</v>
      </c>
      <c r="AG9" s="568">
        <v>2</v>
      </c>
      <c r="AH9" s="565"/>
      <c r="AI9" s="565">
        <f>V9*AG9</f>
        <v>0.75999999999999979</v>
      </c>
      <c r="AJ9" s="565">
        <f>(AD9)*AG9</f>
        <v>3.4199999999999786E-2</v>
      </c>
      <c r="AK9" s="565">
        <f>AB9-H9</f>
        <v>-0.59760000000000002</v>
      </c>
      <c r="AL9" s="565">
        <f>AI9+AJ9+AK9</f>
        <v>0.19659999999999955</v>
      </c>
      <c r="AM9" s="607">
        <f>ROUND(AL9*2340000,0)</f>
        <v>460044</v>
      </c>
      <c r="AN9" s="565">
        <f>ROUND(AE9*AG9,4)</f>
        <v>8.1199999999999994E-2</v>
      </c>
      <c r="AO9" s="569">
        <f>ROUND((AN9*2340000),0)</f>
        <v>190008</v>
      </c>
      <c r="AP9" s="618">
        <f>ROUND((AM9*0.5/100),0)</f>
        <v>2300</v>
      </c>
      <c r="AQ9" s="571">
        <f>ROUND((AM9*17/100),0)</f>
        <v>78207</v>
      </c>
      <c r="AR9" s="571">
        <f t="shared" ref="AR9:AR10" si="1">ROUND((AM9*8/100),0)</f>
        <v>36804</v>
      </c>
      <c r="AS9" s="571">
        <f t="shared" ref="AS9:AS10" si="2">ROUND((AM9*3/100),0)</f>
        <v>13801</v>
      </c>
      <c r="AT9" s="571">
        <f t="shared" ref="AT9:AT10" si="3">ROUND((AM9*1.5/100),0)</f>
        <v>6901</v>
      </c>
      <c r="AU9" s="571">
        <f t="shared" ref="AU9:AU10" si="4">ROUND((AM9/100),0)</f>
        <v>4600</v>
      </c>
      <c r="AV9" s="571">
        <f t="shared" ref="AV9:AV10" si="5">ROUND((AM9/100),0)</f>
        <v>4600</v>
      </c>
      <c r="AW9" s="571">
        <f t="shared" ref="AW9:AW10" si="6">AM9*2/100</f>
        <v>9200.8799999999992</v>
      </c>
      <c r="AX9" s="571">
        <f t="shared" ref="AX9:AX10" si="7">ROUND((AM9+AO9-AR9-AT9-AV9),0)</f>
        <v>601747</v>
      </c>
      <c r="AY9" s="572"/>
      <c r="AZ9" s="386">
        <f>AX9/2</f>
        <v>300873.5</v>
      </c>
      <c r="BA9" s="386"/>
      <c r="BB9" s="335"/>
      <c r="BC9" s="335"/>
      <c r="BD9" s="335"/>
      <c r="BE9" s="573"/>
      <c r="BF9" s="619"/>
    </row>
    <row r="10" spans="1:58" s="575" customFormat="1" ht="17.25" customHeight="1" x14ac:dyDescent="0.25">
      <c r="A10" s="559">
        <v>2</v>
      </c>
      <c r="B10" s="334" t="s">
        <v>407</v>
      </c>
      <c r="C10" s="334" t="s">
        <v>347</v>
      </c>
      <c r="D10" s="560">
        <v>4.6500000000000004</v>
      </c>
      <c r="E10" s="561"/>
      <c r="F10" s="561"/>
      <c r="G10" s="562"/>
      <c r="H10" s="617"/>
      <c r="I10" s="564">
        <v>0.26</v>
      </c>
      <c r="J10" s="565">
        <f>ROUND((D10+F10)*I10,4)</f>
        <v>1.2090000000000001</v>
      </c>
      <c r="K10" s="620">
        <f>ROUND((D10+F10)*0.5,4)</f>
        <v>2.3250000000000002</v>
      </c>
      <c r="L10" s="613">
        <v>4.68</v>
      </c>
      <c r="M10" s="614"/>
      <c r="N10" s="614"/>
      <c r="O10" s="562"/>
      <c r="P10" s="563"/>
      <c r="Q10" s="564"/>
      <c r="R10" s="563"/>
      <c r="S10" s="564">
        <v>0.26</v>
      </c>
      <c r="T10" s="565">
        <f t="shared" ref="T10" si="8">ROUND((L10+N10)*S10,4)</f>
        <v>1.2168000000000001</v>
      </c>
      <c r="U10" s="621">
        <f t="shared" si="0"/>
        <v>2.34</v>
      </c>
      <c r="V10" s="561">
        <f t="shared" ref="V10" si="9">L10-D10</f>
        <v>2.9999999999999361E-2</v>
      </c>
      <c r="W10" s="561"/>
      <c r="X10" s="561"/>
      <c r="Y10" s="562"/>
      <c r="Z10" s="563"/>
      <c r="AA10" s="563"/>
      <c r="AB10" s="563"/>
      <c r="AC10" s="564"/>
      <c r="AD10" s="565">
        <f t="shared" ref="AD10" si="10">ROUND((T10-J10),4)</f>
        <v>7.7999999999999996E-3</v>
      </c>
      <c r="AE10" s="565">
        <f>U10-K10</f>
        <v>1.499999999999968E-2</v>
      </c>
      <c r="AF10" s="565" t="s">
        <v>423</v>
      </c>
      <c r="AG10" s="568">
        <v>2</v>
      </c>
      <c r="AH10" s="565"/>
      <c r="AI10" s="565">
        <f>(V10-AB10)*AG10</f>
        <v>5.9999999999998721E-2</v>
      </c>
      <c r="AJ10" s="565">
        <f t="shared" ref="AJ10" si="11">(AD10)*AG10</f>
        <v>1.5599999999999999E-2</v>
      </c>
      <c r="AK10" s="565">
        <f t="shared" ref="AK10" si="12">AB10*AG10</f>
        <v>0</v>
      </c>
      <c r="AL10" s="565">
        <f t="shared" ref="AL10" si="13">AI10+AJ10+AK10</f>
        <v>7.5599999999998724E-2</v>
      </c>
      <c r="AM10" s="607">
        <f>ROUND(AL10*2340000,0)</f>
        <v>176904</v>
      </c>
      <c r="AN10" s="565">
        <f t="shared" ref="AN10" si="14">ROUND(AE10*AG10,4)</f>
        <v>0.03</v>
      </c>
      <c r="AO10" s="569">
        <f>ROUND((AN10*2340000),0)</f>
        <v>70200</v>
      </c>
      <c r="AP10" s="618">
        <f t="shared" ref="AP10" si="15">ROUND((AM10*0.5/100),0)</f>
        <v>885</v>
      </c>
      <c r="AQ10" s="571">
        <f t="shared" ref="AQ10" si="16">ROUND((AM10*17/100),0)</f>
        <v>30074</v>
      </c>
      <c r="AR10" s="571">
        <f t="shared" si="1"/>
        <v>14152</v>
      </c>
      <c r="AS10" s="571">
        <f t="shared" si="2"/>
        <v>5307</v>
      </c>
      <c r="AT10" s="571">
        <f t="shared" si="3"/>
        <v>2654</v>
      </c>
      <c r="AU10" s="571">
        <f t="shared" si="4"/>
        <v>1769</v>
      </c>
      <c r="AV10" s="571">
        <f t="shared" si="5"/>
        <v>1769</v>
      </c>
      <c r="AW10" s="571">
        <f t="shared" si="6"/>
        <v>3538.08</v>
      </c>
      <c r="AX10" s="571">
        <f t="shared" si="7"/>
        <v>228529</v>
      </c>
      <c r="AY10" s="572"/>
      <c r="AZ10" s="386">
        <f>AX10/2</f>
        <v>114264.5</v>
      </c>
      <c r="BA10" s="335"/>
      <c r="BB10" s="335"/>
      <c r="BC10" s="335"/>
      <c r="BD10" s="335"/>
      <c r="BE10" s="573"/>
      <c r="BF10" s="574"/>
    </row>
    <row r="11" spans="1:58" s="558" customFormat="1" ht="17.25" customHeight="1" x14ac:dyDescent="0.2">
      <c r="A11" s="762" t="s">
        <v>63</v>
      </c>
      <c r="B11" s="762"/>
      <c r="C11" s="549"/>
      <c r="D11" s="576">
        <f>SUM(D9:D10)</f>
        <v>9.6300000000000008</v>
      </c>
      <c r="E11" s="576">
        <f t="shared" ref="E11:H11" si="17">SUM(E9:E10)</f>
        <v>0</v>
      </c>
      <c r="F11" s="576">
        <f t="shared" si="17"/>
        <v>0.5</v>
      </c>
      <c r="G11" s="576">
        <f t="shared" si="17"/>
        <v>0</v>
      </c>
      <c r="H11" s="579">
        <f t="shared" si="17"/>
        <v>0.29880000000000001</v>
      </c>
      <c r="I11" s="579"/>
      <c r="J11" s="579">
        <f t="shared" ref="J11:L11" si="18">SUM(J9:J10)</f>
        <v>2.4225000000000003</v>
      </c>
      <c r="K11" s="622">
        <f t="shared" si="18"/>
        <v>5.2144000000000004</v>
      </c>
      <c r="L11" s="623">
        <f t="shared" si="18"/>
        <v>10.039999999999999</v>
      </c>
      <c r="M11" s="623">
        <f t="shared" ref="M11:P11" si="19">SUM(M9:M9)</f>
        <v>0</v>
      </c>
      <c r="N11" s="623">
        <f t="shared" si="19"/>
        <v>0.5</v>
      </c>
      <c r="O11" s="576">
        <f t="shared" si="19"/>
        <v>0</v>
      </c>
      <c r="P11" s="576">
        <f t="shared" si="19"/>
        <v>0</v>
      </c>
      <c r="Q11" s="576"/>
      <c r="R11" s="576"/>
      <c r="S11" s="576"/>
      <c r="T11" s="579">
        <f>SUM(T9:T10)</f>
        <v>2.4474</v>
      </c>
      <c r="U11" s="579">
        <f t="shared" ref="U11:Z11" si="20">SUM(U9:U10)</f>
        <v>5.27</v>
      </c>
      <c r="V11" s="579">
        <f t="shared" si="20"/>
        <v>0.40999999999999925</v>
      </c>
      <c r="W11" s="579">
        <f t="shared" si="20"/>
        <v>0</v>
      </c>
      <c r="X11" s="579">
        <f t="shared" si="20"/>
        <v>0</v>
      </c>
      <c r="Y11" s="579">
        <f t="shared" si="20"/>
        <v>0</v>
      </c>
      <c r="Z11" s="579">
        <f t="shared" si="20"/>
        <v>0</v>
      </c>
      <c r="AA11" s="579"/>
      <c r="AB11" s="579">
        <f t="shared" ref="AB11" si="21">SUM(AB9:AB10)</f>
        <v>-0.29880000000000001</v>
      </c>
      <c r="AC11" s="579"/>
      <c r="AD11" s="577">
        <f t="shared" ref="AD11" si="22">SUM(AD9:AD10)</f>
        <v>2.4899999999999894E-2</v>
      </c>
      <c r="AE11" s="579">
        <f>SUM(AE9:AE10)</f>
        <v>5.559999999999965E-2</v>
      </c>
      <c r="AF11" s="579"/>
      <c r="AG11" s="579"/>
      <c r="AH11" s="579">
        <f>SUM(AH9:AH9)</f>
        <v>0</v>
      </c>
      <c r="AI11" s="577">
        <f>SUM(AI9:AI10)</f>
        <v>0.81999999999999851</v>
      </c>
      <c r="AJ11" s="577">
        <f>SUM(AJ9:AJ10)</f>
        <v>4.9799999999999789E-2</v>
      </c>
      <c r="AK11" s="577">
        <f>SUM(AK9:AK10)</f>
        <v>-0.59760000000000002</v>
      </c>
      <c r="AL11" s="577">
        <f>SUM(AL9:AL10)</f>
        <v>0.27219999999999828</v>
      </c>
      <c r="AM11" s="337">
        <f>SUM(AM9:AM10)</f>
        <v>636948</v>
      </c>
      <c r="AN11" s="609">
        <f t="shared" ref="AN11:AX11" si="23">SUM(AN9:AN10)</f>
        <v>0.11119999999999999</v>
      </c>
      <c r="AO11" s="337">
        <f t="shared" si="23"/>
        <v>260208</v>
      </c>
      <c r="AP11" s="337">
        <f t="shared" si="23"/>
        <v>3185</v>
      </c>
      <c r="AQ11" s="337">
        <f t="shared" si="23"/>
        <v>108281</v>
      </c>
      <c r="AR11" s="337">
        <f t="shared" si="23"/>
        <v>50956</v>
      </c>
      <c r="AS11" s="337">
        <f t="shared" si="23"/>
        <v>19108</v>
      </c>
      <c r="AT11" s="337">
        <f t="shared" si="23"/>
        <v>9555</v>
      </c>
      <c r="AU11" s="337">
        <f t="shared" si="23"/>
        <v>6369</v>
      </c>
      <c r="AV11" s="337">
        <f t="shared" si="23"/>
        <v>6369</v>
      </c>
      <c r="AW11" s="337">
        <f t="shared" si="23"/>
        <v>12738.96</v>
      </c>
      <c r="AX11" s="337">
        <f t="shared" si="23"/>
        <v>830276</v>
      </c>
      <c r="AY11" s="388"/>
      <c r="AZ11" s="388">
        <f t="shared" ref="AZ11" si="24">SUM(AZ9:AZ9)</f>
        <v>300873.5</v>
      </c>
      <c r="BA11" s="337" t="e">
        <f>SUM(#REF!)</f>
        <v>#REF!</v>
      </c>
      <c r="BB11" s="337" t="e">
        <f>SUM(#REF!)</f>
        <v>#REF!</v>
      </c>
      <c r="BC11" s="337" t="e">
        <f>#REF!-AX11</f>
        <v>#REF!</v>
      </c>
      <c r="BD11" s="337" t="e">
        <f>SUM(#REF!)</f>
        <v>#REF!</v>
      </c>
      <c r="BE11" s="557"/>
      <c r="BF11" s="302"/>
    </row>
    <row r="12" spans="1:58" s="521" customFormat="1" ht="4.5" customHeight="1" x14ac:dyDescent="0.3">
      <c r="A12" s="580"/>
      <c r="C12" s="73"/>
      <c r="D12" s="73"/>
      <c r="H12" s="522"/>
      <c r="J12" s="522"/>
      <c r="P12" s="522"/>
      <c r="Q12" s="522"/>
      <c r="R12" s="522"/>
      <c r="T12" s="522"/>
      <c r="U12" s="73"/>
      <c r="Z12" s="522"/>
      <c r="AA12" s="522"/>
      <c r="AB12" s="522"/>
      <c r="AD12" s="522"/>
      <c r="AE12" s="522"/>
      <c r="AF12" s="524"/>
      <c r="AG12" s="522"/>
      <c r="AH12" s="520"/>
      <c r="AI12" s="520"/>
      <c r="AJ12" s="520"/>
      <c r="AK12" s="520"/>
      <c r="AL12" s="520"/>
      <c r="AM12" s="525"/>
      <c r="AN12" s="520"/>
      <c r="AO12" s="526"/>
      <c r="AX12" s="581"/>
      <c r="BE12" s="557"/>
      <c r="BF12" s="49"/>
    </row>
    <row r="13" spans="1:58" s="583" customFormat="1" x14ac:dyDescent="0.3">
      <c r="A13" s="763" t="s">
        <v>424</v>
      </c>
      <c r="B13" s="763"/>
      <c r="C13" s="763"/>
      <c r="D13" s="763"/>
      <c r="E13" s="763"/>
      <c r="F13" s="763"/>
      <c r="G13" s="763"/>
      <c r="H13" s="763"/>
      <c r="I13" s="763"/>
      <c r="J13" s="763"/>
      <c r="K13" s="763"/>
      <c r="L13" s="763"/>
      <c r="M13" s="763"/>
      <c r="N13" s="763"/>
      <c r="O13" s="763"/>
      <c r="P13" s="763"/>
      <c r="Q13" s="763"/>
      <c r="R13" s="763"/>
      <c r="S13" s="763"/>
      <c r="T13" s="763"/>
      <c r="U13" s="763"/>
      <c r="V13" s="763"/>
      <c r="W13" s="763"/>
      <c r="X13" s="763"/>
      <c r="Y13" s="763"/>
      <c r="Z13" s="763"/>
      <c r="AA13" s="763"/>
      <c r="AB13" s="763"/>
      <c r="AC13" s="763"/>
      <c r="AD13" s="763"/>
      <c r="AE13" s="763"/>
      <c r="AF13" s="763"/>
      <c r="AG13" s="763"/>
      <c r="AH13" s="763"/>
      <c r="AI13" s="763"/>
      <c r="AJ13" s="763"/>
      <c r="AK13" s="763"/>
      <c r="AL13" s="763"/>
      <c r="AM13" s="763"/>
      <c r="AN13" s="763"/>
      <c r="AO13" s="763"/>
      <c r="AP13" s="763"/>
      <c r="AQ13" s="763"/>
      <c r="AR13" s="763"/>
      <c r="AS13" s="763"/>
      <c r="AT13" s="763"/>
      <c r="AU13" s="763"/>
      <c r="AV13" s="763"/>
      <c r="AW13" s="763"/>
      <c r="AX13" s="582"/>
      <c r="AZ13" s="584"/>
      <c r="BC13" s="121"/>
      <c r="BE13" s="121"/>
      <c r="BF13" s="49"/>
    </row>
    <row r="14" spans="1:58" s="586" customFormat="1" x14ac:dyDescent="0.3">
      <c r="A14" s="585"/>
      <c r="C14" s="73"/>
      <c r="D14" s="73"/>
      <c r="J14" s="587"/>
      <c r="T14" s="587"/>
      <c r="U14" s="73"/>
      <c r="AD14" s="587"/>
      <c r="AE14" s="587"/>
      <c r="AF14" s="524"/>
      <c r="AG14" s="587"/>
      <c r="AM14" s="588"/>
      <c r="AO14" s="588"/>
      <c r="AR14" s="589"/>
      <c r="AT14" s="589" t="s">
        <v>425</v>
      </c>
      <c r="AU14" s="589"/>
      <c r="AV14" s="589"/>
      <c r="AW14" s="589"/>
      <c r="AX14" s="589"/>
      <c r="AY14" s="589"/>
      <c r="AZ14" s="589"/>
      <c r="BA14" s="589"/>
      <c r="BB14" s="589"/>
      <c r="BC14" s="589"/>
      <c r="BD14" s="589"/>
      <c r="BE14" s="589"/>
      <c r="BF14" s="49"/>
    </row>
    <row r="15" spans="1:58" s="338" customFormat="1" x14ac:dyDescent="0.3">
      <c r="A15" s="590"/>
      <c r="C15" s="764"/>
      <c r="D15" s="764"/>
      <c r="E15" s="764"/>
      <c r="F15" s="511"/>
      <c r="J15" s="591"/>
      <c r="N15" s="511"/>
      <c r="Q15" s="338" t="s">
        <v>412</v>
      </c>
      <c r="T15" s="591"/>
      <c r="U15" s="592"/>
      <c r="X15" s="511"/>
      <c r="AD15" s="591"/>
      <c r="AE15" s="591"/>
      <c r="AF15" s="684" t="s">
        <v>413</v>
      </c>
      <c r="AG15" s="684"/>
      <c r="AH15" s="684"/>
      <c r="AI15" s="684"/>
      <c r="AJ15" s="684"/>
      <c r="AK15" s="684"/>
      <c r="AL15" s="684"/>
      <c r="AM15" s="684"/>
      <c r="AO15" s="593"/>
      <c r="AR15" s="684"/>
      <c r="AS15" s="684"/>
      <c r="AU15" s="594" t="s">
        <v>414</v>
      </c>
      <c r="AV15" s="594"/>
      <c r="AW15" s="594"/>
      <c r="AX15" s="594"/>
      <c r="AY15" s="594"/>
      <c r="AZ15" s="594"/>
      <c r="BA15" s="594"/>
      <c r="BB15" s="594"/>
      <c r="BC15" s="594"/>
      <c r="BD15" s="594"/>
      <c r="BE15" s="594"/>
      <c r="BF15" s="49"/>
    </row>
    <row r="16" spans="1:58" s="521" customFormat="1" x14ac:dyDescent="0.3">
      <c r="A16" s="580"/>
      <c r="C16" s="767"/>
      <c r="D16" s="767"/>
      <c r="E16" s="767"/>
      <c r="F16" s="595"/>
      <c r="H16" s="522"/>
      <c r="J16" s="522"/>
      <c r="K16" s="520"/>
      <c r="L16" s="520"/>
      <c r="M16" s="520"/>
      <c r="N16" s="595"/>
      <c r="P16" s="522"/>
      <c r="Q16" s="522"/>
      <c r="R16" s="522"/>
      <c r="T16" s="522"/>
      <c r="U16" s="523"/>
      <c r="V16" s="520"/>
      <c r="W16" s="520"/>
      <c r="X16" s="595"/>
      <c r="Z16" s="522"/>
      <c r="AA16" s="522"/>
      <c r="AB16" s="522"/>
      <c r="AD16" s="522"/>
      <c r="AE16" s="522"/>
      <c r="AF16" s="768"/>
      <c r="AG16" s="768"/>
      <c r="AH16" s="768"/>
      <c r="AI16" s="768"/>
      <c r="AJ16" s="768"/>
      <c r="AK16" s="768"/>
      <c r="AL16" s="768"/>
      <c r="AM16" s="768"/>
      <c r="AN16" s="520"/>
      <c r="AO16" s="596"/>
      <c r="AR16" s="768"/>
      <c r="AS16" s="768"/>
      <c r="AT16" s="597"/>
      <c r="AX16" s="73"/>
      <c r="BF16" s="49"/>
    </row>
    <row r="17" spans="1:59" s="521" customFormat="1" ht="45" customHeight="1" x14ac:dyDescent="0.3">
      <c r="A17" s="580"/>
      <c r="C17" s="73"/>
      <c r="D17" s="73"/>
      <c r="H17" s="522"/>
      <c r="J17" s="522"/>
      <c r="P17" s="522"/>
      <c r="Q17" s="522"/>
      <c r="R17" s="522"/>
      <c r="T17" s="522"/>
      <c r="U17" s="73"/>
      <c r="Z17" s="522"/>
      <c r="AA17" s="522"/>
      <c r="AB17" s="522"/>
      <c r="AD17" s="522"/>
      <c r="AE17" s="522"/>
      <c r="AF17" s="524"/>
      <c r="AL17" s="520"/>
      <c r="AM17" s="525"/>
      <c r="AN17" s="520"/>
      <c r="AO17" s="596"/>
      <c r="BE17" s="557"/>
      <c r="BF17" s="49"/>
      <c r="BG17" s="598"/>
    </row>
    <row r="18" spans="1:59" s="338" customFormat="1" x14ac:dyDescent="0.3">
      <c r="A18" s="590"/>
      <c r="B18" s="764"/>
      <c r="C18" s="764"/>
      <c r="D18" s="764"/>
      <c r="E18" s="764"/>
      <c r="F18" s="764"/>
      <c r="G18" s="764"/>
      <c r="H18" s="764"/>
      <c r="I18" s="764"/>
      <c r="J18" s="764"/>
      <c r="K18" s="599"/>
      <c r="L18" s="599"/>
      <c r="M18" s="599"/>
      <c r="N18" s="594" t="s">
        <v>174</v>
      </c>
      <c r="O18" s="594"/>
      <c r="P18" s="594"/>
      <c r="Q18" s="594"/>
      <c r="R18" s="594"/>
      <c r="S18" s="594"/>
      <c r="T18" s="591"/>
      <c r="U18" s="600"/>
      <c r="V18" s="599"/>
      <c r="W18" s="599"/>
      <c r="X18" s="511"/>
      <c r="Z18" s="591"/>
      <c r="AA18" s="591"/>
      <c r="AB18" s="591"/>
      <c r="AD18" s="591"/>
      <c r="AE18" s="591"/>
      <c r="AF18" s="601"/>
      <c r="AG18" s="684" t="s">
        <v>174</v>
      </c>
      <c r="AH18" s="684"/>
      <c r="AI18" s="684"/>
      <c r="AJ18" s="684"/>
      <c r="AK18" s="684"/>
      <c r="AL18" s="684"/>
      <c r="AM18" s="602"/>
      <c r="AN18" s="599"/>
      <c r="AO18" s="593"/>
      <c r="AQ18" s="594"/>
      <c r="AR18" s="594"/>
      <c r="AS18" s="594"/>
      <c r="AT18" s="594"/>
      <c r="AU18" s="594" t="s">
        <v>350</v>
      </c>
      <c r="AV18" s="594"/>
      <c r="AW18" s="594"/>
      <c r="AX18" s="594"/>
      <c r="BE18" s="203"/>
      <c r="BF18" s="49"/>
    </row>
    <row r="19" spans="1:59" s="521" customFormat="1" x14ac:dyDescent="0.3">
      <c r="A19" s="580"/>
      <c r="B19" s="338"/>
      <c r="C19" s="592"/>
      <c r="D19" s="592"/>
      <c r="E19" s="338"/>
      <c r="F19" s="338"/>
      <c r="G19" s="338"/>
      <c r="H19" s="591"/>
      <c r="I19" s="338"/>
      <c r="J19" s="591"/>
      <c r="K19" s="338"/>
      <c r="L19" s="338"/>
      <c r="M19" s="338"/>
      <c r="N19" s="338"/>
      <c r="O19" s="338"/>
      <c r="P19" s="591"/>
      <c r="Q19" s="591"/>
      <c r="R19" s="591"/>
      <c r="S19" s="338"/>
      <c r="T19" s="591"/>
      <c r="U19" s="592"/>
      <c r="V19" s="338"/>
      <c r="W19" s="338"/>
      <c r="X19" s="338"/>
      <c r="Y19" s="338"/>
      <c r="Z19" s="591"/>
      <c r="AA19" s="591"/>
      <c r="AB19" s="591"/>
      <c r="AC19" s="338"/>
      <c r="AD19" s="591"/>
      <c r="AE19" s="591"/>
      <c r="AF19" s="601"/>
      <c r="AG19" s="591"/>
      <c r="AH19" s="599"/>
      <c r="AI19" s="599"/>
      <c r="AJ19" s="599"/>
      <c r="AK19" s="599"/>
      <c r="AL19" s="599"/>
      <c r="AM19" s="602"/>
      <c r="AN19" s="599"/>
      <c r="AO19" s="526"/>
      <c r="BE19" s="203"/>
      <c r="BF19" s="49"/>
    </row>
    <row r="20" spans="1:59" s="521" customFormat="1" x14ac:dyDescent="0.3">
      <c r="A20" s="580"/>
      <c r="C20" s="73"/>
      <c r="D20" s="73"/>
      <c r="J20" s="522"/>
      <c r="T20" s="522"/>
      <c r="U20" s="73"/>
      <c r="AD20" s="522"/>
      <c r="AE20" s="522"/>
      <c r="AF20" s="524"/>
      <c r="AG20" s="522"/>
      <c r="AM20" s="526"/>
      <c r="AO20" s="526"/>
      <c r="BE20" s="203"/>
      <c r="BF20" s="49"/>
    </row>
    <row r="21" spans="1:59" s="521" customFormat="1" x14ac:dyDescent="0.3">
      <c r="A21" s="580"/>
      <c r="C21" s="73"/>
      <c r="D21" s="73"/>
      <c r="H21" s="522"/>
      <c r="J21" s="522"/>
      <c r="P21" s="522"/>
      <c r="Q21" s="522"/>
      <c r="R21" s="522"/>
      <c r="T21" s="522"/>
      <c r="U21" s="73"/>
      <c r="Z21" s="522"/>
      <c r="AA21" s="522"/>
      <c r="AB21" s="522"/>
      <c r="AD21" s="522"/>
      <c r="AE21" s="522"/>
      <c r="AF21" s="524"/>
      <c r="AG21" s="522"/>
      <c r="AH21" s="520"/>
      <c r="AI21" s="520"/>
      <c r="AJ21" s="520"/>
      <c r="AK21" s="520"/>
      <c r="AL21" s="520"/>
      <c r="AM21" s="525"/>
      <c r="AN21" s="520"/>
      <c r="AO21" s="526"/>
      <c r="BE21" s="121"/>
      <c r="BF21" s="49"/>
    </row>
    <row r="22" spans="1:59" x14ac:dyDescent="0.3">
      <c r="BE22" s="760"/>
    </row>
    <row r="23" spans="1:59" x14ac:dyDescent="0.3">
      <c r="BE23" s="760"/>
    </row>
    <row r="24" spans="1:59" x14ac:dyDescent="0.3">
      <c r="BE24" s="760"/>
      <c r="BF24" s="604"/>
    </row>
    <row r="25" spans="1:59" x14ac:dyDescent="0.3">
      <c r="BE25" s="760"/>
    </row>
    <row r="26" spans="1:59" ht="19.5" customHeight="1" x14ac:dyDescent="0.3">
      <c r="BE26" s="760"/>
    </row>
    <row r="27" spans="1:59" ht="19.5" customHeight="1" x14ac:dyDescent="0.3">
      <c r="BE27" s="760"/>
    </row>
    <row r="28" spans="1:59" x14ac:dyDescent="0.3">
      <c r="BE28" s="760"/>
    </row>
    <row r="29" spans="1:59" x14ac:dyDescent="0.3">
      <c r="BE29" s="760"/>
    </row>
    <row r="30" spans="1:59" x14ac:dyDescent="0.3">
      <c r="BE30" s="760"/>
    </row>
    <row r="31" spans="1:59" x14ac:dyDescent="0.3">
      <c r="BE31" s="760"/>
    </row>
    <row r="32" spans="1:59" x14ac:dyDescent="0.3">
      <c r="BE32" s="605"/>
    </row>
    <row r="33" spans="57:57" x14ac:dyDescent="0.3">
      <c r="BE33" s="605"/>
    </row>
    <row r="34" spans="57:57" x14ac:dyDescent="0.3">
      <c r="BE34" s="605"/>
    </row>
    <row r="35" spans="57:57" x14ac:dyDescent="0.3">
      <c r="BE35" s="605"/>
    </row>
    <row r="36" spans="57:57" x14ac:dyDescent="0.3">
      <c r="BE36" s="605"/>
    </row>
    <row r="37" spans="57:57" x14ac:dyDescent="0.3">
      <c r="BE37" s="605"/>
    </row>
    <row r="38" spans="57:57" x14ac:dyDescent="0.3">
      <c r="BE38" s="605"/>
    </row>
    <row r="39" spans="57:57" x14ac:dyDescent="0.3">
      <c r="BE39" s="605"/>
    </row>
    <row r="40" spans="57:57" x14ac:dyDescent="0.3">
      <c r="BE40" s="605"/>
    </row>
    <row r="41" spans="57:57" x14ac:dyDescent="0.3">
      <c r="BE41" s="605"/>
    </row>
    <row r="42" spans="57:57" x14ac:dyDescent="0.3">
      <c r="BE42" s="760"/>
    </row>
    <row r="43" spans="57:57" x14ac:dyDescent="0.3">
      <c r="BE43" s="760"/>
    </row>
    <row r="44" spans="57:57" x14ac:dyDescent="0.3">
      <c r="BE44" s="760"/>
    </row>
    <row r="45" spans="57:57" x14ac:dyDescent="0.3">
      <c r="BE45" s="760"/>
    </row>
    <row r="46" spans="57:57" x14ac:dyDescent="0.3">
      <c r="BE46" s="760"/>
    </row>
    <row r="47" spans="57:57" x14ac:dyDescent="0.3">
      <c r="BE47" s="760"/>
    </row>
    <row r="48" spans="57:57" x14ac:dyDescent="0.3">
      <c r="BE48" s="760"/>
    </row>
    <row r="49" spans="1:58" x14ac:dyDescent="0.3">
      <c r="BE49" s="760"/>
    </row>
    <row r="50" spans="1:58" x14ac:dyDescent="0.3">
      <c r="BE50" s="760"/>
    </row>
    <row r="51" spans="1:58" x14ac:dyDescent="0.3">
      <c r="BE51" s="760"/>
    </row>
    <row r="52" spans="1:58" s="521" customFormat="1" x14ac:dyDescent="0.3">
      <c r="A52" s="736" t="s">
        <v>28</v>
      </c>
      <c r="B52" s="736"/>
      <c r="C52" s="736"/>
      <c r="D52" s="736"/>
      <c r="E52" s="736"/>
      <c r="F52" s="736"/>
      <c r="G52" s="736"/>
      <c r="H52" s="736"/>
      <c r="I52" s="736"/>
      <c r="J52" s="736"/>
      <c r="K52" s="520"/>
      <c r="L52" s="520"/>
      <c r="M52" s="520"/>
      <c r="N52" s="520"/>
      <c r="O52" s="520"/>
      <c r="P52" s="520"/>
      <c r="Q52" s="520"/>
      <c r="R52" s="520"/>
      <c r="T52" s="522"/>
      <c r="U52" s="523"/>
      <c r="V52" s="520"/>
      <c r="W52" s="520"/>
      <c r="X52" s="520"/>
      <c r="Y52" s="520"/>
      <c r="Z52" s="520"/>
      <c r="AA52" s="520"/>
      <c r="AB52" s="520"/>
      <c r="AD52" s="522"/>
      <c r="AE52" s="522"/>
      <c r="AF52" s="524"/>
      <c r="AG52" s="522"/>
      <c r="AH52" s="520"/>
      <c r="AI52" s="520"/>
      <c r="AJ52" s="520"/>
      <c r="AK52" s="520"/>
      <c r="AL52" s="520"/>
      <c r="AM52" s="525"/>
      <c r="AN52" s="520"/>
      <c r="AO52" s="526"/>
      <c r="AX52" s="511"/>
      <c r="BE52" s="760"/>
      <c r="BF52" s="58"/>
    </row>
    <row r="53" spans="1:58" s="521" customFormat="1" x14ac:dyDescent="0.3">
      <c r="A53" s="737" t="s">
        <v>30</v>
      </c>
      <c r="B53" s="737"/>
      <c r="C53" s="737"/>
      <c r="D53" s="737"/>
      <c r="E53" s="737"/>
      <c r="F53" s="737"/>
      <c r="G53" s="737"/>
      <c r="H53" s="737"/>
      <c r="I53" s="737"/>
      <c r="J53" s="737"/>
      <c r="K53" s="520"/>
      <c r="L53" s="520"/>
      <c r="M53" s="520"/>
      <c r="N53" s="520"/>
      <c r="O53" s="520"/>
      <c r="P53" s="520"/>
      <c r="Q53" s="520"/>
      <c r="R53" s="520"/>
      <c r="T53" s="522"/>
      <c r="U53" s="523"/>
      <c r="V53" s="520"/>
      <c r="W53" s="520"/>
      <c r="X53" s="520"/>
      <c r="Y53" s="520"/>
      <c r="Z53" s="520"/>
      <c r="AA53" s="520"/>
      <c r="AB53" s="520"/>
      <c r="AD53" s="522"/>
      <c r="AE53" s="522"/>
      <c r="AF53" s="524"/>
      <c r="AG53" s="522"/>
      <c r="AH53" s="520"/>
      <c r="AI53" s="520"/>
      <c r="AJ53" s="520"/>
      <c r="AK53" s="520"/>
      <c r="AL53" s="520"/>
      <c r="AM53" s="525"/>
      <c r="AN53" s="520"/>
      <c r="AO53" s="526"/>
      <c r="BE53" s="760"/>
      <c r="BF53" s="58"/>
    </row>
    <row r="54" spans="1:58" s="528" customFormat="1" ht="63.75" customHeight="1" x14ac:dyDescent="0.3">
      <c r="A54" s="738" t="s">
        <v>415</v>
      </c>
      <c r="B54" s="738"/>
      <c r="C54" s="738"/>
      <c r="D54" s="738"/>
      <c r="E54" s="738"/>
      <c r="F54" s="738"/>
      <c r="G54" s="738"/>
      <c r="H54" s="738"/>
      <c r="I54" s="738"/>
      <c r="J54" s="738"/>
      <c r="K54" s="738"/>
      <c r="L54" s="738"/>
      <c r="M54" s="738"/>
      <c r="N54" s="738"/>
      <c r="O54" s="738"/>
      <c r="P54" s="738"/>
      <c r="Q54" s="738"/>
      <c r="R54" s="738"/>
      <c r="S54" s="738"/>
      <c r="T54" s="738"/>
      <c r="U54" s="738"/>
      <c r="V54" s="738"/>
      <c r="W54" s="738"/>
      <c r="X54" s="738"/>
      <c r="Y54" s="738"/>
      <c r="Z54" s="738"/>
      <c r="AA54" s="738"/>
      <c r="AB54" s="738"/>
      <c r="AC54" s="738"/>
      <c r="AD54" s="738"/>
      <c r="AE54" s="738"/>
      <c r="AF54" s="738"/>
      <c r="AG54" s="738"/>
      <c r="AH54" s="738"/>
      <c r="AI54" s="738"/>
      <c r="AJ54" s="738"/>
      <c r="AK54" s="738"/>
      <c r="AL54" s="738"/>
      <c r="AM54" s="738"/>
      <c r="AN54" s="738"/>
      <c r="AO54" s="738"/>
      <c r="AP54" s="738"/>
      <c r="AQ54" s="738"/>
      <c r="AR54" s="738"/>
      <c r="AS54" s="738"/>
      <c r="AT54" s="738"/>
      <c r="AU54" s="738"/>
      <c r="AV54" s="738"/>
      <c r="AW54" s="738"/>
      <c r="AX54" s="738"/>
      <c r="AY54" s="738"/>
      <c r="AZ54" s="527"/>
      <c r="BA54" s="527"/>
      <c r="BB54" s="527" t="s">
        <v>389</v>
      </c>
      <c r="BC54" s="527"/>
      <c r="BD54" s="527"/>
      <c r="BE54" s="760"/>
      <c r="BF54" s="58"/>
    </row>
    <row r="55" spans="1:58" s="531" customFormat="1" ht="20.25" customHeight="1" x14ac:dyDescent="0.2">
      <c r="A55" s="739" t="s">
        <v>390</v>
      </c>
      <c r="B55" s="739" t="s">
        <v>31</v>
      </c>
      <c r="C55" s="741" t="s">
        <v>32</v>
      </c>
      <c r="D55" s="742" t="s">
        <v>391</v>
      </c>
      <c r="E55" s="743"/>
      <c r="F55" s="743"/>
      <c r="G55" s="743"/>
      <c r="H55" s="743"/>
      <c r="I55" s="743"/>
      <c r="J55" s="743"/>
      <c r="K55" s="744"/>
      <c r="L55" s="742" t="s">
        <v>392</v>
      </c>
      <c r="M55" s="743"/>
      <c r="N55" s="743"/>
      <c r="O55" s="743"/>
      <c r="P55" s="743"/>
      <c r="Q55" s="743"/>
      <c r="R55" s="743"/>
      <c r="S55" s="743"/>
      <c r="T55" s="743"/>
      <c r="U55" s="744"/>
      <c r="V55" s="745" t="s">
        <v>393</v>
      </c>
      <c r="W55" s="746"/>
      <c r="X55" s="746"/>
      <c r="Y55" s="746"/>
      <c r="Z55" s="746"/>
      <c r="AA55" s="746"/>
      <c r="AB55" s="746"/>
      <c r="AC55" s="746"/>
      <c r="AD55" s="746"/>
      <c r="AE55" s="747"/>
      <c r="AF55" s="748" t="s">
        <v>394</v>
      </c>
      <c r="AG55" s="752" t="s">
        <v>395</v>
      </c>
      <c r="AH55" s="756" t="s">
        <v>396</v>
      </c>
      <c r="AI55" s="757" t="s">
        <v>397</v>
      </c>
      <c r="AJ55" s="757" t="s">
        <v>398</v>
      </c>
      <c r="AK55" s="757" t="s">
        <v>399</v>
      </c>
      <c r="AL55" s="754" t="s">
        <v>400</v>
      </c>
      <c r="AM55" s="741" t="s">
        <v>401</v>
      </c>
      <c r="AN55" s="754" t="s">
        <v>396</v>
      </c>
      <c r="AO55" s="755" t="s">
        <v>52</v>
      </c>
      <c r="AP55" s="741" t="s">
        <v>402</v>
      </c>
      <c r="AQ55" s="751" t="s">
        <v>40</v>
      </c>
      <c r="AR55" s="751"/>
      <c r="AS55" s="751" t="s">
        <v>41</v>
      </c>
      <c r="AT55" s="751"/>
      <c r="AU55" s="751" t="s">
        <v>42</v>
      </c>
      <c r="AV55" s="751"/>
      <c r="AW55" s="751" t="s">
        <v>43</v>
      </c>
      <c r="AX55" s="741" t="s">
        <v>46</v>
      </c>
      <c r="AY55" s="741" t="s">
        <v>47</v>
      </c>
      <c r="AZ55" s="529"/>
      <c r="BA55" s="529"/>
      <c r="BB55" s="530"/>
      <c r="BC55" s="530"/>
      <c r="BD55" s="530"/>
      <c r="BE55" s="760"/>
      <c r="BF55" s="58"/>
    </row>
    <row r="56" spans="1:58" s="536" customFormat="1" ht="25.5" customHeight="1" x14ac:dyDescent="0.2">
      <c r="A56" s="740"/>
      <c r="B56" s="739"/>
      <c r="C56" s="741"/>
      <c r="D56" s="752" t="s">
        <v>33</v>
      </c>
      <c r="E56" s="752" t="s">
        <v>34</v>
      </c>
      <c r="F56" s="752" t="s">
        <v>34</v>
      </c>
      <c r="G56" s="742" t="s">
        <v>35</v>
      </c>
      <c r="H56" s="744"/>
      <c r="I56" s="752" t="s">
        <v>35</v>
      </c>
      <c r="J56" s="752"/>
      <c r="K56" s="752" t="s">
        <v>403</v>
      </c>
      <c r="L56" s="752" t="s">
        <v>33</v>
      </c>
      <c r="M56" s="752" t="s">
        <v>34</v>
      </c>
      <c r="N56" s="752" t="s">
        <v>34</v>
      </c>
      <c r="O56" s="752" t="s">
        <v>35</v>
      </c>
      <c r="P56" s="752"/>
      <c r="Q56" s="752" t="s">
        <v>35</v>
      </c>
      <c r="R56" s="752"/>
      <c r="S56" s="752" t="s">
        <v>35</v>
      </c>
      <c r="T56" s="752"/>
      <c r="U56" s="752" t="s">
        <v>403</v>
      </c>
      <c r="V56" s="752" t="s">
        <v>33</v>
      </c>
      <c r="W56" s="758" t="s">
        <v>34</v>
      </c>
      <c r="X56" s="752" t="s">
        <v>34</v>
      </c>
      <c r="Y56" s="752" t="s">
        <v>35</v>
      </c>
      <c r="Z56" s="752"/>
      <c r="AA56" s="532"/>
      <c r="AB56" s="532"/>
      <c r="AC56" s="533" t="s">
        <v>35</v>
      </c>
      <c r="AD56" s="533"/>
      <c r="AE56" s="533"/>
      <c r="AF56" s="749"/>
      <c r="AG56" s="752"/>
      <c r="AH56" s="756"/>
      <c r="AI56" s="757"/>
      <c r="AJ56" s="757"/>
      <c r="AK56" s="757"/>
      <c r="AL56" s="754"/>
      <c r="AM56" s="741"/>
      <c r="AN56" s="754"/>
      <c r="AO56" s="755"/>
      <c r="AP56" s="741"/>
      <c r="AQ56" s="751"/>
      <c r="AR56" s="751"/>
      <c r="AS56" s="751"/>
      <c r="AT56" s="751"/>
      <c r="AU56" s="751"/>
      <c r="AV56" s="751"/>
      <c r="AW56" s="751"/>
      <c r="AX56" s="741"/>
      <c r="AY56" s="741"/>
      <c r="AZ56" s="534"/>
      <c r="BA56" s="534"/>
      <c r="BB56" s="535"/>
      <c r="BC56" s="535"/>
      <c r="BD56" s="535"/>
      <c r="BE56" s="507"/>
      <c r="BF56" s="58"/>
    </row>
    <row r="57" spans="1:58" s="543" customFormat="1" ht="72.75" customHeight="1" x14ac:dyDescent="0.2">
      <c r="A57" s="740"/>
      <c r="B57" s="739"/>
      <c r="C57" s="741"/>
      <c r="D57" s="753"/>
      <c r="E57" s="753"/>
      <c r="F57" s="753"/>
      <c r="G57" s="537" t="s">
        <v>48</v>
      </c>
      <c r="H57" s="538" t="s">
        <v>404</v>
      </c>
      <c r="I57" s="537" t="s">
        <v>48</v>
      </c>
      <c r="J57" s="538" t="s">
        <v>405</v>
      </c>
      <c r="K57" s="753"/>
      <c r="L57" s="753"/>
      <c r="M57" s="753"/>
      <c r="N57" s="753"/>
      <c r="O57" s="537" t="s">
        <v>48</v>
      </c>
      <c r="P57" s="538" t="s">
        <v>49</v>
      </c>
      <c r="Q57" s="537" t="s">
        <v>48</v>
      </c>
      <c r="R57" s="538" t="s">
        <v>49</v>
      </c>
      <c r="S57" s="537" t="s">
        <v>48</v>
      </c>
      <c r="T57" s="538" t="s">
        <v>50</v>
      </c>
      <c r="U57" s="753"/>
      <c r="V57" s="753"/>
      <c r="W57" s="759"/>
      <c r="X57" s="753"/>
      <c r="Y57" s="537" t="s">
        <v>48</v>
      </c>
      <c r="Z57" s="538" t="s">
        <v>49</v>
      </c>
      <c r="AA57" s="539" t="s">
        <v>48</v>
      </c>
      <c r="AB57" s="540" t="s">
        <v>406</v>
      </c>
      <c r="AC57" s="539" t="s">
        <v>48</v>
      </c>
      <c r="AD57" s="540" t="s">
        <v>50</v>
      </c>
      <c r="AE57" s="541" t="s">
        <v>403</v>
      </c>
      <c r="AF57" s="750"/>
      <c r="AG57" s="752"/>
      <c r="AH57" s="756"/>
      <c r="AI57" s="757"/>
      <c r="AJ57" s="757"/>
      <c r="AK57" s="757"/>
      <c r="AL57" s="754"/>
      <c r="AM57" s="741"/>
      <c r="AN57" s="754"/>
      <c r="AO57" s="755"/>
      <c r="AP57" s="741"/>
      <c r="AQ57" s="532" t="s">
        <v>69</v>
      </c>
      <c r="AR57" s="532" t="s">
        <v>53</v>
      </c>
      <c r="AS57" s="532" t="s">
        <v>54</v>
      </c>
      <c r="AT57" s="532" t="s">
        <v>55</v>
      </c>
      <c r="AU57" s="532" t="s">
        <v>56</v>
      </c>
      <c r="AV57" s="532" t="s">
        <v>57</v>
      </c>
      <c r="AW57" s="532" t="s">
        <v>58</v>
      </c>
      <c r="AX57" s="741"/>
      <c r="AY57" s="741"/>
      <c r="AZ57" s="534"/>
      <c r="BA57" s="534"/>
      <c r="BB57" s="535"/>
      <c r="BC57" s="535"/>
      <c r="BD57" s="535"/>
      <c r="BE57" s="504"/>
      <c r="BF57" s="542"/>
    </row>
    <row r="58" spans="1:58" s="547" customFormat="1" ht="11.25" customHeight="1" x14ac:dyDescent="0.2">
      <c r="A58" s="544" t="s">
        <v>1</v>
      </c>
      <c r="B58" s="544" t="s">
        <v>2</v>
      </c>
      <c r="C58" s="544" t="s">
        <v>59</v>
      </c>
      <c r="D58" s="544">
        <v>1</v>
      </c>
      <c r="E58" s="544">
        <v>2</v>
      </c>
      <c r="F58" s="544">
        <v>2</v>
      </c>
      <c r="G58" s="765">
        <v>3</v>
      </c>
      <c r="H58" s="766"/>
      <c r="I58" s="761">
        <v>3</v>
      </c>
      <c r="J58" s="761"/>
      <c r="K58" s="544">
        <v>4</v>
      </c>
      <c r="L58" s="544">
        <v>5</v>
      </c>
      <c r="M58" s="544">
        <v>2</v>
      </c>
      <c r="N58" s="544">
        <v>6</v>
      </c>
      <c r="O58" s="761">
        <v>3</v>
      </c>
      <c r="P58" s="761"/>
      <c r="Q58" s="544"/>
      <c r="R58" s="544"/>
      <c r="S58" s="761">
        <v>7</v>
      </c>
      <c r="T58" s="761"/>
      <c r="U58" s="544">
        <v>8</v>
      </c>
      <c r="V58" s="544">
        <v>9</v>
      </c>
      <c r="W58" s="544">
        <v>2</v>
      </c>
      <c r="X58" s="544"/>
      <c r="Y58" s="761">
        <v>3</v>
      </c>
      <c r="Z58" s="761"/>
      <c r="AA58" s="544"/>
      <c r="AB58" s="544"/>
      <c r="AC58" s="761">
        <v>10</v>
      </c>
      <c r="AD58" s="761"/>
      <c r="AE58" s="545">
        <v>11</v>
      </c>
      <c r="AF58" s="544">
        <v>12</v>
      </c>
      <c r="AG58" s="545">
        <v>13</v>
      </c>
      <c r="AH58" s="544">
        <v>14</v>
      </c>
      <c r="AI58" s="545">
        <v>15</v>
      </c>
      <c r="AJ58" s="544">
        <v>16</v>
      </c>
      <c r="AK58" s="544"/>
      <c r="AL58" s="545">
        <v>17</v>
      </c>
      <c r="AM58" s="544">
        <v>18</v>
      </c>
      <c r="AN58" s="545">
        <v>19</v>
      </c>
      <c r="AO58" s="544">
        <v>20</v>
      </c>
      <c r="AP58" s="545">
        <v>21</v>
      </c>
      <c r="AQ58" s="544">
        <v>22</v>
      </c>
      <c r="AR58" s="545">
        <v>23</v>
      </c>
      <c r="AS58" s="544">
        <v>24</v>
      </c>
      <c r="AT58" s="545">
        <v>25</v>
      </c>
      <c r="AU58" s="544">
        <v>26</v>
      </c>
      <c r="AV58" s="545">
        <v>27</v>
      </c>
      <c r="AW58" s="544">
        <v>28</v>
      </c>
      <c r="AX58" s="544">
        <v>32</v>
      </c>
      <c r="AY58" s="544" t="s">
        <v>60</v>
      </c>
      <c r="AZ58" s="546"/>
      <c r="BA58" s="546"/>
      <c r="BB58" s="546"/>
      <c r="BC58" s="546"/>
      <c r="BD58" s="546"/>
      <c r="BE58" s="396"/>
      <c r="BF58" s="58"/>
    </row>
    <row r="59" spans="1:58" s="558" customFormat="1" ht="20.25" customHeight="1" x14ac:dyDescent="0.3">
      <c r="A59" s="548" t="s">
        <v>61</v>
      </c>
      <c r="B59" s="549" t="s">
        <v>62</v>
      </c>
      <c r="C59" s="549"/>
      <c r="D59" s="550"/>
      <c r="E59" s="550"/>
      <c r="F59" s="550"/>
      <c r="G59" s="549"/>
      <c r="H59" s="551"/>
      <c r="I59" s="549"/>
      <c r="J59" s="552"/>
      <c r="K59" s="552"/>
      <c r="L59" s="553"/>
      <c r="M59" s="552"/>
      <c r="N59" s="552"/>
      <c r="O59" s="552"/>
      <c r="P59" s="552"/>
      <c r="Q59" s="552"/>
      <c r="R59" s="552"/>
      <c r="S59" s="549"/>
      <c r="T59" s="552"/>
      <c r="U59" s="552"/>
      <c r="V59" s="550"/>
      <c r="W59" s="549"/>
      <c r="X59" s="550"/>
      <c r="Y59" s="549"/>
      <c r="Z59" s="551"/>
      <c r="AA59" s="551"/>
      <c r="AB59" s="551"/>
      <c r="AC59" s="549"/>
      <c r="AD59" s="552"/>
      <c r="AE59" s="552"/>
      <c r="AF59" s="552"/>
      <c r="AG59" s="552"/>
      <c r="AH59" s="554"/>
      <c r="AI59" s="554"/>
      <c r="AJ59" s="554"/>
      <c r="AK59" s="554"/>
      <c r="AL59" s="554"/>
      <c r="AM59" s="555"/>
      <c r="AN59" s="554"/>
      <c r="AO59" s="555"/>
      <c r="AP59" s="555"/>
      <c r="AQ59" s="555"/>
      <c r="AR59" s="555"/>
      <c r="AS59" s="555"/>
      <c r="AT59" s="555"/>
      <c r="AU59" s="555"/>
      <c r="AV59" s="555"/>
      <c r="AW59" s="555"/>
      <c r="AX59" s="555"/>
      <c r="AY59" s="555"/>
      <c r="AZ59" s="556"/>
      <c r="BA59" s="556"/>
      <c r="BB59" s="556"/>
      <c r="BC59" s="556"/>
      <c r="BD59" s="556"/>
      <c r="BE59" s="557"/>
      <c r="BF59" s="107"/>
    </row>
    <row r="60" spans="1:58" s="575" customFormat="1" ht="17.25" customHeight="1" x14ac:dyDescent="0.25">
      <c r="A60" s="559">
        <v>1</v>
      </c>
      <c r="B60" s="334" t="s">
        <v>416</v>
      </c>
      <c r="C60" s="334" t="s">
        <v>347</v>
      </c>
      <c r="D60" s="560">
        <v>4.32</v>
      </c>
      <c r="E60" s="561"/>
      <c r="F60" s="561">
        <v>0.5</v>
      </c>
      <c r="G60" s="562"/>
      <c r="H60" s="563"/>
      <c r="I60" s="564">
        <v>0.21</v>
      </c>
      <c r="J60" s="565">
        <f t="shared" ref="J60:J61" si="25">ROUND((D60+F60)*I60,4)</f>
        <v>1.0122</v>
      </c>
      <c r="K60" s="566">
        <f t="shared" ref="K60:K61" si="26">ROUND((D60+F60)*0.5,4)</f>
        <v>2.41</v>
      </c>
      <c r="L60" s="560">
        <v>4.34</v>
      </c>
      <c r="M60" s="561"/>
      <c r="N60" s="561">
        <v>0.5</v>
      </c>
      <c r="O60" s="562"/>
      <c r="P60" s="563"/>
      <c r="Q60" s="564"/>
      <c r="R60" s="563"/>
      <c r="S60" s="564">
        <v>0.21</v>
      </c>
      <c r="T60" s="565">
        <f t="shared" ref="T60:T61" si="27">ROUND((L60+N60)*S60,4)</f>
        <v>1.0164</v>
      </c>
      <c r="U60" s="606">
        <f t="shared" ref="U60:U61" si="28">ROUND((L60+N60+R60)*0.5,4)</f>
        <v>2.42</v>
      </c>
      <c r="V60" s="561">
        <f t="shared" ref="V60:V61" si="29">L60-D60</f>
        <v>1.9999999999999574E-2</v>
      </c>
      <c r="W60" s="561"/>
      <c r="X60" s="561"/>
      <c r="Y60" s="562"/>
      <c r="Z60" s="563"/>
      <c r="AA60" s="563"/>
      <c r="AB60" s="563"/>
      <c r="AC60" s="564"/>
      <c r="AD60" s="565">
        <f t="shared" ref="AD60:AD61" si="30">ROUND((T60-J60),4)</f>
        <v>4.1999999999999997E-3</v>
      </c>
      <c r="AE60" s="565">
        <f t="shared" ref="AE60:AE61" si="31">U60-K60</f>
        <v>9.9999999999997868E-3</v>
      </c>
      <c r="AF60" s="565" t="s">
        <v>417</v>
      </c>
      <c r="AG60" s="568">
        <v>1</v>
      </c>
      <c r="AH60" s="565"/>
      <c r="AI60" s="565">
        <f t="shared" ref="AI60:AI61" si="32">(V60+AB60)*AG60</f>
        <v>1.9999999999999574E-2</v>
      </c>
      <c r="AJ60" s="565">
        <f t="shared" ref="AJ60:AJ61" si="33">(AD60)*AG60</f>
        <v>4.1999999999999997E-3</v>
      </c>
      <c r="AK60" s="568">
        <f t="shared" ref="AK60:AK61" si="34">AB60*AG60</f>
        <v>0</v>
      </c>
      <c r="AL60" s="565">
        <f t="shared" ref="AL60:AL61" si="35">AI60+AJ60+AK60</f>
        <v>2.4199999999999573E-2</v>
      </c>
      <c r="AM60" s="607">
        <f t="shared" ref="AM60:AM61" si="36">ROUND(AL60*1800000,0)</f>
        <v>43560</v>
      </c>
      <c r="AN60" s="565">
        <f t="shared" ref="AN60:AN61" si="37">ROUND(AE60*AG60,4)</f>
        <v>0.01</v>
      </c>
      <c r="AO60" s="607">
        <f t="shared" ref="AO60:AO61" si="38">ROUND((AN60*1800000),0)</f>
        <v>18000</v>
      </c>
      <c r="AP60" s="571">
        <f t="shared" ref="AP60:AP61" si="39">ROUND((AM60*0.5/100),0)</f>
        <v>218</v>
      </c>
      <c r="AQ60" s="571">
        <f t="shared" ref="AQ60:AQ61" si="40">ROUND((AM60*17/100),0)</f>
        <v>7405</v>
      </c>
      <c r="AR60" s="571">
        <f t="shared" ref="AR60:AR61" si="41">ROUND((AM60*8/100),0)</f>
        <v>3485</v>
      </c>
      <c r="AS60" s="571">
        <f t="shared" ref="AS60:AS61" si="42">ROUND((AM60*3/100),0)</f>
        <v>1307</v>
      </c>
      <c r="AT60" s="571">
        <f t="shared" ref="AT60:AT61" si="43">ROUND((AM60*1.5/100),0)</f>
        <v>653</v>
      </c>
      <c r="AU60" s="571">
        <f t="shared" ref="AU60:AU61" si="44">ROUND((AM60/100),0)</f>
        <v>436</v>
      </c>
      <c r="AV60" s="571">
        <f t="shared" ref="AV60:AV61" si="45">ROUND((AM60/100),0)</f>
        <v>436</v>
      </c>
      <c r="AW60" s="571">
        <f t="shared" ref="AW60:AW61" si="46">AM60*2/100</f>
        <v>871.2</v>
      </c>
      <c r="AX60" s="571">
        <f t="shared" ref="AX60:AX61" si="47">ROUND((AM60+AO60-AR60-AT60-AV60),0)</f>
        <v>56986</v>
      </c>
      <c r="AY60" s="572"/>
      <c r="AZ60" s="335">
        <f>AX60+AX61</f>
        <v>286220</v>
      </c>
      <c r="BA60" s="335"/>
      <c r="BB60" s="335">
        <f t="shared" ref="BB60:BB61" si="48">AX60/5</f>
        <v>11397.2</v>
      </c>
      <c r="BC60" s="335"/>
      <c r="BD60" s="335"/>
      <c r="BE60" s="573"/>
      <c r="BF60" s="574"/>
    </row>
    <row r="61" spans="1:58" s="575" customFormat="1" ht="17.25" customHeight="1" x14ac:dyDescent="0.25">
      <c r="A61" s="559">
        <v>2</v>
      </c>
      <c r="B61" s="334" t="s">
        <v>416</v>
      </c>
      <c r="C61" s="334" t="s">
        <v>347</v>
      </c>
      <c r="D61" s="560">
        <v>4.32</v>
      </c>
      <c r="E61" s="561"/>
      <c r="F61" s="561">
        <v>0.5</v>
      </c>
      <c r="G61" s="562"/>
      <c r="H61" s="563"/>
      <c r="I61" s="564">
        <v>0.22</v>
      </c>
      <c r="J61" s="565">
        <f t="shared" si="25"/>
        <v>1.0604</v>
      </c>
      <c r="K61" s="566">
        <f t="shared" si="26"/>
        <v>2.41</v>
      </c>
      <c r="L61" s="560">
        <v>4.34</v>
      </c>
      <c r="M61" s="561"/>
      <c r="N61" s="561">
        <v>0.5</v>
      </c>
      <c r="O61" s="562"/>
      <c r="P61" s="563"/>
      <c r="Q61" s="564"/>
      <c r="R61" s="563"/>
      <c r="S61" s="564">
        <v>0.22</v>
      </c>
      <c r="T61" s="565">
        <f t="shared" si="27"/>
        <v>1.0648</v>
      </c>
      <c r="U61" s="606">
        <f t="shared" si="28"/>
        <v>2.42</v>
      </c>
      <c r="V61" s="561">
        <f t="shared" si="29"/>
        <v>1.9999999999999574E-2</v>
      </c>
      <c r="W61" s="561"/>
      <c r="X61" s="561"/>
      <c r="Y61" s="562"/>
      <c r="Z61" s="563"/>
      <c r="AA61" s="563"/>
      <c r="AB61" s="563"/>
      <c r="AC61" s="564"/>
      <c r="AD61" s="565">
        <f t="shared" si="30"/>
        <v>4.4000000000000003E-3</v>
      </c>
      <c r="AE61" s="565">
        <f t="shared" si="31"/>
        <v>9.9999999999997868E-3</v>
      </c>
      <c r="AF61" s="565" t="s">
        <v>418</v>
      </c>
      <c r="AG61" s="568">
        <v>4</v>
      </c>
      <c r="AH61" s="565"/>
      <c r="AI61" s="565">
        <f t="shared" si="32"/>
        <v>7.9999999999998295E-2</v>
      </c>
      <c r="AJ61" s="565">
        <f t="shared" si="33"/>
        <v>1.7600000000000001E-2</v>
      </c>
      <c r="AK61" s="568">
        <f t="shared" si="34"/>
        <v>0</v>
      </c>
      <c r="AL61" s="565">
        <f t="shared" si="35"/>
        <v>9.7599999999998299E-2</v>
      </c>
      <c r="AM61" s="607">
        <f t="shared" si="36"/>
        <v>175680</v>
      </c>
      <c r="AN61" s="565">
        <f t="shared" si="37"/>
        <v>0.04</v>
      </c>
      <c r="AO61" s="607">
        <f t="shared" si="38"/>
        <v>72000</v>
      </c>
      <c r="AP61" s="571">
        <f t="shared" si="39"/>
        <v>878</v>
      </c>
      <c r="AQ61" s="571">
        <f t="shared" si="40"/>
        <v>29866</v>
      </c>
      <c r="AR61" s="571">
        <f t="shared" si="41"/>
        <v>14054</v>
      </c>
      <c r="AS61" s="571">
        <f t="shared" si="42"/>
        <v>5270</v>
      </c>
      <c r="AT61" s="571">
        <f t="shared" si="43"/>
        <v>2635</v>
      </c>
      <c r="AU61" s="571">
        <f t="shared" si="44"/>
        <v>1757</v>
      </c>
      <c r="AV61" s="571">
        <f t="shared" si="45"/>
        <v>1757</v>
      </c>
      <c r="AW61" s="571">
        <f t="shared" si="46"/>
        <v>3513.6</v>
      </c>
      <c r="AX61" s="571">
        <f t="shared" si="47"/>
        <v>229234</v>
      </c>
      <c r="AY61" s="572"/>
      <c r="AZ61" s="386"/>
      <c r="BA61" s="335" t="e">
        <f>#REF!-'[1]tinh lai tlinh dung  '!AZ111</f>
        <v>#REF!</v>
      </c>
      <c r="BB61" s="335">
        <f t="shared" si="48"/>
        <v>45846.8</v>
      </c>
      <c r="BC61" s="335"/>
      <c r="BD61" s="335"/>
      <c r="BE61" s="573"/>
      <c r="BF61" s="574"/>
    </row>
    <row r="62" spans="1:58" s="558" customFormat="1" ht="17.25" customHeight="1" x14ac:dyDescent="0.2">
      <c r="A62" s="762" t="s">
        <v>63</v>
      </c>
      <c r="B62" s="762"/>
      <c r="C62" s="549"/>
      <c r="D62" s="576">
        <f>SUM(D60:D61)</f>
        <v>8.64</v>
      </c>
      <c r="E62" s="576">
        <f>SUM(E60:E61)</f>
        <v>0</v>
      </c>
      <c r="F62" s="576">
        <f>SUM(F60:F61)</f>
        <v>1</v>
      </c>
      <c r="G62" s="576">
        <f>SUM(G60:G61)</f>
        <v>0</v>
      </c>
      <c r="H62" s="576"/>
      <c r="I62" s="576"/>
      <c r="J62" s="579">
        <f t="shared" ref="J62:P62" si="49">SUM(J60:J61)</f>
        <v>2.0726</v>
      </c>
      <c r="K62" s="579">
        <f t="shared" si="49"/>
        <v>4.82</v>
      </c>
      <c r="L62" s="576">
        <f t="shared" si="49"/>
        <v>8.68</v>
      </c>
      <c r="M62" s="576">
        <f t="shared" si="49"/>
        <v>0</v>
      </c>
      <c r="N62" s="576">
        <f t="shared" si="49"/>
        <v>1</v>
      </c>
      <c r="O62" s="576">
        <f t="shared" si="49"/>
        <v>0</v>
      </c>
      <c r="P62" s="576">
        <f t="shared" si="49"/>
        <v>0</v>
      </c>
      <c r="Q62" s="576"/>
      <c r="R62" s="576"/>
      <c r="S62" s="576"/>
      <c r="T62" s="579">
        <f t="shared" ref="T62:Z62" si="50">SUM(T60:T61)</f>
        <v>2.0811999999999999</v>
      </c>
      <c r="U62" s="579">
        <f t="shared" si="50"/>
        <v>4.84</v>
      </c>
      <c r="V62" s="579">
        <f t="shared" si="50"/>
        <v>3.9999999999999147E-2</v>
      </c>
      <c r="W62" s="579">
        <f t="shared" si="50"/>
        <v>0</v>
      </c>
      <c r="X62" s="579">
        <f t="shared" si="50"/>
        <v>0</v>
      </c>
      <c r="Y62" s="579">
        <f t="shared" si="50"/>
        <v>0</v>
      </c>
      <c r="Z62" s="579">
        <f t="shared" si="50"/>
        <v>0</v>
      </c>
      <c r="AA62" s="579"/>
      <c r="AB62" s="579"/>
      <c r="AC62" s="579"/>
      <c r="AD62" s="579">
        <f>SUM(AD60:AD61)</f>
        <v>8.6E-3</v>
      </c>
      <c r="AE62" s="579">
        <f>SUM(AE60:AE61)</f>
        <v>1.9999999999999574E-2</v>
      </c>
      <c r="AF62" s="576"/>
      <c r="AG62" s="576"/>
      <c r="AH62" s="576">
        <f t="shared" ref="AH62:AM62" si="51">SUM(AH60:AH61)</f>
        <v>0</v>
      </c>
      <c r="AI62" s="608">
        <f t="shared" si="51"/>
        <v>9.9999999999997868E-2</v>
      </c>
      <c r="AJ62" s="608">
        <f t="shared" si="51"/>
        <v>2.18E-2</v>
      </c>
      <c r="AK62" s="608">
        <f t="shared" si="51"/>
        <v>0</v>
      </c>
      <c r="AL62" s="608">
        <f t="shared" si="51"/>
        <v>0.12179999999999787</v>
      </c>
      <c r="AM62" s="388">
        <f t="shared" si="51"/>
        <v>219240</v>
      </c>
      <c r="AN62" s="609">
        <v>29.27</v>
      </c>
      <c r="AO62" s="337">
        <f t="shared" ref="AO62:BB62" si="52">SUM(AO60:AO61)</f>
        <v>90000</v>
      </c>
      <c r="AP62" s="337">
        <f t="shared" si="52"/>
        <v>1096</v>
      </c>
      <c r="AQ62" s="337">
        <f t="shared" si="52"/>
        <v>37271</v>
      </c>
      <c r="AR62" s="337">
        <f t="shared" si="52"/>
        <v>17539</v>
      </c>
      <c r="AS62" s="337">
        <f t="shared" si="52"/>
        <v>6577</v>
      </c>
      <c r="AT62" s="337">
        <f t="shared" si="52"/>
        <v>3288</v>
      </c>
      <c r="AU62" s="337">
        <f t="shared" si="52"/>
        <v>2193</v>
      </c>
      <c r="AV62" s="337">
        <f t="shared" si="52"/>
        <v>2193</v>
      </c>
      <c r="AW62" s="337">
        <f t="shared" si="52"/>
        <v>4384.8</v>
      </c>
      <c r="AX62" s="337">
        <f t="shared" si="52"/>
        <v>286220</v>
      </c>
      <c r="AY62" s="337">
        <f t="shared" si="52"/>
        <v>0</v>
      </c>
      <c r="AZ62" s="337">
        <f t="shared" si="52"/>
        <v>286220</v>
      </c>
      <c r="BA62" s="337" t="e">
        <f t="shared" si="52"/>
        <v>#REF!</v>
      </c>
      <c r="BB62" s="337">
        <f t="shared" si="52"/>
        <v>57244</v>
      </c>
      <c r="BC62" s="337" t="e">
        <f>#REF!-AX62</f>
        <v>#REF!</v>
      </c>
      <c r="BD62" s="337"/>
      <c r="BE62" s="557"/>
      <c r="BF62" s="302"/>
    </row>
    <row r="63" spans="1:58" s="521" customFormat="1" ht="4.5" customHeight="1" x14ac:dyDescent="0.3">
      <c r="A63" s="580"/>
      <c r="C63" s="73"/>
      <c r="D63" s="73"/>
      <c r="H63" s="522"/>
      <c r="J63" s="522"/>
      <c r="P63" s="522"/>
      <c r="Q63" s="522"/>
      <c r="R63" s="522"/>
      <c r="T63" s="522"/>
      <c r="U63" s="73"/>
      <c r="Z63" s="522"/>
      <c r="AA63" s="522"/>
      <c r="AB63" s="522"/>
      <c r="AD63" s="522"/>
      <c r="AE63" s="522"/>
      <c r="AF63" s="524"/>
      <c r="AG63" s="522"/>
      <c r="AH63" s="520"/>
      <c r="AI63" s="520"/>
      <c r="AJ63" s="520"/>
      <c r="AK63" s="520"/>
      <c r="AL63" s="520"/>
      <c r="AM63" s="525"/>
      <c r="AN63" s="520"/>
      <c r="AO63" s="526"/>
      <c r="AX63" s="581"/>
      <c r="BE63" s="557"/>
      <c r="BF63" s="49"/>
    </row>
    <row r="64" spans="1:58" s="583" customFormat="1" x14ac:dyDescent="0.3">
      <c r="A64" s="763" t="s">
        <v>419</v>
      </c>
      <c r="B64" s="763"/>
      <c r="C64" s="763"/>
      <c r="D64" s="763"/>
      <c r="E64" s="763"/>
      <c r="F64" s="763"/>
      <c r="G64" s="763"/>
      <c r="H64" s="763"/>
      <c r="I64" s="763"/>
      <c r="J64" s="763"/>
      <c r="K64" s="763"/>
      <c r="L64" s="763"/>
      <c r="M64" s="763"/>
      <c r="N64" s="763"/>
      <c r="O64" s="763"/>
      <c r="P64" s="763"/>
      <c r="Q64" s="763"/>
      <c r="R64" s="763"/>
      <c r="S64" s="763"/>
      <c r="T64" s="763"/>
      <c r="U64" s="763"/>
      <c r="V64" s="763"/>
      <c r="W64" s="763"/>
      <c r="X64" s="763"/>
      <c r="Y64" s="763"/>
      <c r="Z64" s="763"/>
      <c r="AA64" s="763"/>
      <c r="AB64" s="763"/>
      <c r="AC64" s="763"/>
      <c r="AD64" s="763"/>
      <c r="AE64" s="763"/>
      <c r="AF64" s="763"/>
      <c r="AG64" s="763"/>
      <c r="AH64" s="763"/>
      <c r="AI64" s="763"/>
      <c r="AJ64" s="763"/>
      <c r="AK64" s="763"/>
      <c r="AL64" s="763"/>
      <c r="AM64" s="763"/>
      <c r="AN64" s="763"/>
      <c r="AO64" s="763"/>
      <c r="AP64" s="763"/>
      <c r="AQ64" s="763"/>
      <c r="AR64" s="763"/>
      <c r="AS64" s="763"/>
      <c r="AT64" s="763"/>
      <c r="AU64" s="763"/>
      <c r="AV64" s="763"/>
      <c r="AW64" s="763"/>
      <c r="AX64" s="582"/>
      <c r="AZ64" s="584"/>
      <c r="BC64" s="121"/>
      <c r="BE64" s="121"/>
      <c r="BF64" s="49"/>
    </row>
    <row r="65" spans="1:59" s="586" customFormat="1" x14ac:dyDescent="0.3">
      <c r="A65" s="585"/>
      <c r="C65" s="73"/>
      <c r="D65" s="73"/>
      <c r="J65" s="587"/>
      <c r="T65" s="587"/>
      <c r="U65" s="73"/>
      <c r="AD65" s="587"/>
      <c r="AE65" s="587"/>
      <c r="AF65" s="524"/>
      <c r="AG65" s="587"/>
      <c r="AM65" s="588"/>
      <c r="AO65" s="588"/>
      <c r="AR65" s="589"/>
      <c r="AT65" s="589" t="s">
        <v>420</v>
      </c>
      <c r="AU65" s="589"/>
      <c r="AV65" s="589"/>
      <c r="AW65" s="589"/>
      <c r="AX65" s="589"/>
      <c r="AY65" s="589"/>
      <c r="AZ65" s="589"/>
      <c r="BA65" s="589"/>
      <c r="BB65" s="589"/>
      <c r="BC65" s="589"/>
      <c r="BD65" s="589"/>
      <c r="BE65" s="589"/>
      <c r="BF65" s="49"/>
    </row>
    <row r="66" spans="1:59" s="338" customFormat="1" x14ac:dyDescent="0.3">
      <c r="A66" s="590"/>
      <c r="C66" s="764"/>
      <c r="D66" s="764"/>
      <c r="E66" s="764"/>
      <c r="F66" s="511"/>
      <c r="J66" s="591"/>
      <c r="N66" s="511"/>
      <c r="Q66" s="338" t="s">
        <v>412</v>
      </c>
      <c r="T66" s="591"/>
      <c r="U66" s="592"/>
      <c r="X66" s="511"/>
      <c r="AD66" s="591"/>
      <c r="AE66" s="591"/>
      <c r="AF66" s="684" t="s">
        <v>413</v>
      </c>
      <c r="AG66" s="684"/>
      <c r="AH66" s="684"/>
      <c r="AI66" s="684"/>
      <c r="AJ66" s="684"/>
      <c r="AK66" s="684"/>
      <c r="AL66" s="684"/>
      <c r="AM66" s="684"/>
      <c r="AO66" s="593"/>
      <c r="AR66" s="684"/>
      <c r="AS66" s="684"/>
      <c r="AU66" s="594" t="s">
        <v>414</v>
      </c>
      <c r="AV66" s="594"/>
      <c r="AW66" s="594"/>
      <c r="AX66" s="594"/>
      <c r="AY66" s="594"/>
      <c r="AZ66" s="594"/>
      <c r="BA66" s="594"/>
      <c r="BB66" s="594"/>
      <c r="BC66" s="594"/>
      <c r="BD66" s="594"/>
      <c r="BE66" s="594"/>
      <c r="BF66" s="49"/>
    </row>
    <row r="67" spans="1:59" s="521" customFormat="1" x14ac:dyDescent="0.3">
      <c r="A67" s="580"/>
      <c r="C67" s="767"/>
      <c r="D67" s="767"/>
      <c r="E67" s="767"/>
      <c r="F67" s="595"/>
      <c r="H67" s="522"/>
      <c r="J67" s="522"/>
      <c r="K67" s="520"/>
      <c r="L67" s="520"/>
      <c r="M67" s="520"/>
      <c r="N67" s="595"/>
      <c r="P67" s="522"/>
      <c r="Q67" s="522"/>
      <c r="R67" s="522"/>
      <c r="T67" s="522"/>
      <c r="U67" s="523"/>
      <c r="V67" s="520"/>
      <c r="W67" s="520"/>
      <c r="X67" s="595"/>
      <c r="Z67" s="522"/>
      <c r="AA67" s="522"/>
      <c r="AB67" s="522"/>
      <c r="AD67" s="522"/>
      <c r="AE67" s="522"/>
      <c r="AF67" s="768"/>
      <c r="AG67" s="768"/>
      <c r="AH67" s="768"/>
      <c r="AI67" s="768"/>
      <c r="AJ67" s="768"/>
      <c r="AK67" s="768"/>
      <c r="AL67" s="768"/>
      <c r="AM67" s="768"/>
      <c r="AN67" s="520"/>
      <c r="AO67" s="596"/>
      <c r="AR67" s="768"/>
      <c r="AS67" s="768"/>
      <c r="AT67" s="597"/>
      <c r="AX67" s="73"/>
      <c r="BF67" s="49"/>
    </row>
    <row r="68" spans="1:59" s="521" customFormat="1" ht="45" customHeight="1" x14ac:dyDescent="0.3">
      <c r="A68" s="580"/>
      <c r="C68" s="73"/>
      <c r="D68" s="73"/>
      <c r="H68" s="522"/>
      <c r="J68" s="522"/>
      <c r="P68" s="522"/>
      <c r="Q68" s="522"/>
      <c r="R68" s="522"/>
      <c r="T68" s="522"/>
      <c r="U68" s="73"/>
      <c r="Z68" s="522"/>
      <c r="AA68" s="522"/>
      <c r="AB68" s="522"/>
      <c r="AD68" s="522"/>
      <c r="AE68" s="522"/>
      <c r="AF68" s="524"/>
      <c r="AL68" s="520"/>
      <c r="AM68" s="525"/>
      <c r="AN68" s="520"/>
      <c r="AO68" s="596"/>
      <c r="BE68" s="557"/>
      <c r="BF68" s="49"/>
      <c r="BG68" s="598"/>
    </row>
    <row r="69" spans="1:59" s="338" customFormat="1" x14ac:dyDescent="0.3">
      <c r="A69" s="590"/>
      <c r="B69" s="764"/>
      <c r="C69" s="764"/>
      <c r="D69" s="764"/>
      <c r="E69" s="764"/>
      <c r="F69" s="764"/>
      <c r="G69" s="764"/>
      <c r="H69" s="764"/>
      <c r="I69" s="764"/>
      <c r="J69" s="764"/>
      <c r="K69" s="599"/>
      <c r="L69" s="599"/>
      <c r="M69" s="599"/>
      <c r="N69" s="594" t="s">
        <v>174</v>
      </c>
      <c r="O69" s="594"/>
      <c r="P69" s="594"/>
      <c r="Q69" s="594"/>
      <c r="R69" s="594"/>
      <c r="S69" s="594"/>
      <c r="T69" s="591"/>
      <c r="U69" s="600"/>
      <c r="V69" s="599"/>
      <c r="W69" s="599"/>
      <c r="X69" s="511"/>
      <c r="Z69" s="591"/>
      <c r="AA69" s="591"/>
      <c r="AB69" s="591"/>
      <c r="AD69" s="591"/>
      <c r="AE69" s="591"/>
      <c r="AF69" s="601"/>
      <c r="AG69" s="684" t="s">
        <v>174</v>
      </c>
      <c r="AH69" s="684"/>
      <c r="AI69" s="684"/>
      <c r="AJ69" s="684"/>
      <c r="AK69" s="684"/>
      <c r="AL69" s="684"/>
      <c r="AM69" s="602"/>
      <c r="AN69" s="599"/>
      <c r="AO69" s="593"/>
      <c r="AQ69" s="594"/>
      <c r="AR69" s="594"/>
      <c r="AS69" s="594"/>
      <c r="AT69" s="594"/>
      <c r="AU69" s="594" t="s">
        <v>350</v>
      </c>
      <c r="AV69" s="594"/>
      <c r="AW69" s="594"/>
      <c r="AX69" s="594"/>
      <c r="BE69" s="203"/>
      <c r="BF69" s="49"/>
    </row>
    <row r="70" spans="1:59" s="521" customFormat="1" x14ac:dyDescent="0.3">
      <c r="A70" s="580"/>
      <c r="B70" s="338"/>
      <c r="C70" s="592"/>
      <c r="D70" s="592"/>
      <c r="E70" s="338"/>
      <c r="F70" s="338"/>
      <c r="G70" s="338"/>
      <c r="H70" s="591"/>
      <c r="I70" s="338"/>
      <c r="J70" s="591"/>
      <c r="K70" s="338"/>
      <c r="L70" s="338"/>
      <c r="M70" s="338"/>
      <c r="N70" s="338"/>
      <c r="O70" s="338"/>
      <c r="P70" s="591"/>
      <c r="Q70" s="591"/>
      <c r="R70" s="591"/>
      <c r="S70" s="338"/>
      <c r="T70" s="591"/>
      <c r="U70" s="592"/>
      <c r="V70" s="338"/>
      <c r="W70" s="338"/>
      <c r="X70" s="338"/>
      <c r="Y70" s="338"/>
      <c r="Z70" s="591"/>
      <c r="AA70" s="591"/>
      <c r="AB70" s="591"/>
      <c r="AC70" s="338"/>
      <c r="AD70" s="591"/>
      <c r="AE70" s="591"/>
      <c r="AF70" s="601"/>
      <c r="AG70" s="591"/>
      <c r="AH70" s="599"/>
      <c r="AI70" s="599"/>
      <c r="AJ70" s="599"/>
      <c r="AK70" s="599"/>
      <c r="AL70" s="599"/>
      <c r="AM70" s="602"/>
      <c r="AN70" s="599"/>
      <c r="AO70" s="526"/>
      <c r="BE70" s="203"/>
      <c r="BF70" s="49"/>
    </row>
    <row r="71" spans="1:59" s="521" customFormat="1" x14ac:dyDescent="0.3">
      <c r="A71" s="580"/>
      <c r="C71" s="73"/>
      <c r="D71" s="73"/>
      <c r="J71" s="522"/>
      <c r="T71" s="522"/>
      <c r="U71" s="73"/>
      <c r="AD71" s="522"/>
      <c r="AE71" s="522"/>
      <c r="AF71" s="524"/>
      <c r="AG71" s="522"/>
      <c r="AM71" s="526"/>
      <c r="AO71" s="526"/>
      <c r="BE71" s="203"/>
      <c r="BF71" s="49"/>
    </row>
    <row r="72" spans="1:59" s="521" customFormat="1" x14ac:dyDescent="0.3">
      <c r="A72" s="580"/>
      <c r="C72" s="73"/>
      <c r="D72" s="73"/>
      <c r="H72" s="522"/>
      <c r="J72" s="522"/>
      <c r="P72" s="522"/>
      <c r="Q72" s="522"/>
      <c r="R72" s="522"/>
      <c r="T72" s="522"/>
      <c r="U72" s="73"/>
      <c r="Z72" s="522"/>
      <c r="AA72" s="522"/>
      <c r="AB72" s="522"/>
      <c r="AD72" s="522"/>
      <c r="AE72" s="522"/>
      <c r="AF72" s="524"/>
      <c r="AG72" s="522"/>
      <c r="AH72" s="520"/>
      <c r="AI72" s="520"/>
      <c r="AJ72" s="520"/>
      <c r="AK72" s="520"/>
      <c r="AL72" s="520"/>
      <c r="AM72" s="525"/>
      <c r="AN72" s="520"/>
      <c r="AO72" s="526"/>
      <c r="BE72" s="121"/>
      <c r="BF72" s="49"/>
    </row>
    <row r="73" spans="1:59" x14ac:dyDescent="0.3">
      <c r="BE73" s="760"/>
    </row>
    <row r="74" spans="1:59" x14ac:dyDescent="0.3">
      <c r="BE74" s="760"/>
    </row>
    <row r="75" spans="1:59" x14ac:dyDescent="0.3">
      <c r="BE75" s="760"/>
      <c r="BF75" s="604"/>
    </row>
    <row r="76" spans="1:59" x14ac:dyDescent="0.3">
      <c r="BE76" s="760"/>
    </row>
    <row r="77" spans="1:59" ht="19.5" customHeight="1" x14ac:dyDescent="0.3">
      <c r="BE77" s="760"/>
    </row>
    <row r="78" spans="1:59" ht="19.5" customHeight="1" x14ac:dyDescent="0.3">
      <c r="BE78" s="760"/>
    </row>
    <row r="79" spans="1:59" x14ac:dyDescent="0.3">
      <c r="BE79" s="760"/>
    </row>
    <row r="80" spans="1:59" x14ac:dyDescent="0.3">
      <c r="BE80" s="760"/>
    </row>
    <row r="81" spans="57:57" x14ac:dyDescent="0.3">
      <c r="BE81" s="760"/>
    </row>
    <row r="82" spans="57:57" x14ac:dyDescent="0.3">
      <c r="BE82" s="760"/>
    </row>
    <row r="83" spans="57:57" x14ac:dyDescent="0.3">
      <c r="BE83" s="605"/>
    </row>
    <row r="84" spans="57:57" x14ac:dyDescent="0.3">
      <c r="BE84" s="605"/>
    </row>
    <row r="85" spans="57:57" x14ac:dyDescent="0.3">
      <c r="BE85" s="605"/>
    </row>
  </sheetData>
  <mergeCells count="121">
    <mergeCell ref="G58:H58"/>
    <mergeCell ref="I58:J58"/>
    <mergeCell ref="O58:P58"/>
    <mergeCell ref="B69:J69"/>
    <mergeCell ref="AG69:AL69"/>
    <mergeCell ref="BE73:BE82"/>
    <mergeCell ref="A62:B62"/>
    <mergeCell ref="A64:AW64"/>
    <mergeCell ref="C66:E66"/>
    <mergeCell ref="AF66:AM66"/>
    <mergeCell ref="AR66:AS66"/>
    <mergeCell ref="C67:E67"/>
    <mergeCell ref="AF67:AM67"/>
    <mergeCell ref="AR67:AS67"/>
    <mergeCell ref="S58:T58"/>
    <mergeCell ref="Y58:Z58"/>
    <mergeCell ref="AC58:AD58"/>
    <mergeCell ref="S56:T56"/>
    <mergeCell ref="U56:U57"/>
    <mergeCell ref="V56:V57"/>
    <mergeCell ref="W56:W57"/>
    <mergeCell ref="X56:X57"/>
    <mergeCell ref="Y56:Z56"/>
    <mergeCell ref="BE42:BE55"/>
    <mergeCell ref="A52:J52"/>
    <mergeCell ref="A53:J53"/>
    <mergeCell ref="A54:AY54"/>
    <mergeCell ref="A55:A57"/>
    <mergeCell ref="B55:B57"/>
    <mergeCell ref="C55:C57"/>
    <mergeCell ref="D55:K55"/>
    <mergeCell ref="L55:U55"/>
    <mergeCell ref="V55:AE55"/>
    <mergeCell ref="AS55:AT56"/>
    <mergeCell ref="AU55:AV56"/>
    <mergeCell ref="AW55:AW56"/>
    <mergeCell ref="AX55:AX57"/>
    <mergeCell ref="AY55:AY57"/>
    <mergeCell ref="D56:D57"/>
    <mergeCell ref="E56:E57"/>
    <mergeCell ref="F56:F57"/>
    <mergeCell ref="G56:H56"/>
    <mergeCell ref="I56:J56"/>
    <mergeCell ref="O56:P56"/>
    <mergeCell ref="Q56:R56"/>
    <mergeCell ref="AP55:AP57"/>
    <mergeCell ref="AQ55:AR56"/>
    <mergeCell ref="AL55:AL57"/>
    <mergeCell ref="AM55:AM57"/>
    <mergeCell ref="AN55:AN57"/>
    <mergeCell ref="AO55:AO57"/>
    <mergeCell ref="C16:E16"/>
    <mergeCell ref="AF16:AM16"/>
    <mergeCell ref="AR16:AS16"/>
    <mergeCell ref="B18:J18"/>
    <mergeCell ref="AG18:AL18"/>
    <mergeCell ref="K56:K57"/>
    <mergeCell ref="L56:L57"/>
    <mergeCell ref="M56:M57"/>
    <mergeCell ref="N56:N57"/>
    <mergeCell ref="AF55:AF57"/>
    <mergeCell ref="AG55:AG57"/>
    <mergeCell ref="AH55:AH57"/>
    <mergeCell ref="AI55:AI57"/>
    <mergeCell ref="AJ55:AJ57"/>
    <mergeCell ref="AK55:AK57"/>
    <mergeCell ref="BE22:BE31"/>
    <mergeCell ref="AC7:AD7"/>
    <mergeCell ref="A11:B11"/>
    <mergeCell ref="A13:AW13"/>
    <mergeCell ref="C15:E15"/>
    <mergeCell ref="AF15:AM15"/>
    <mergeCell ref="AR15:AS15"/>
    <mergeCell ref="G7:H7"/>
    <mergeCell ref="I7:J7"/>
    <mergeCell ref="O7:P7"/>
    <mergeCell ref="S7:T7"/>
    <mergeCell ref="Y7:Z7"/>
    <mergeCell ref="L5:L6"/>
    <mergeCell ref="M5:M6"/>
    <mergeCell ref="N5:N6"/>
    <mergeCell ref="O5:P5"/>
    <mergeCell ref="Q5:R5"/>
    <mergeCell ref="S5:T5"/>
    <mergeCell ref="AQ4:AR5"/>
    <mergeCell ref="AS4:AT5"/>
    <mergeCell ref="AG4:AG6"/>
    <mergeCell ref="AH4:AH6"/>
    <mergeCell ref="AI4:AI6"/>
    <mergeCell ref="AJ4:AJ6"/>
    <mergeCell ref="AK4:AK6"/>
    <mergeCell ref="AL4:AL6"/>
    <mergeCell ref="U5:U6"/>
    <mergeCell ref="V5:V6"/>
    <mergeCell ref="W5:W6"/>
    <mergeCell ref="X5:X6"/>
    <mergeCell ref="Y5:Z5"/>
    <mergeCell ref="A1:J1"/>
    <mergeCell ref="A2:J2"/>
    <mergeCell ref="A3:AY3"/>
    <mergeCell ref="A4:A6"/>
    <mergeCell ref="B4:B6"/>
    <mergeCell ref="C4:C6"/>
    <mergeCell ref="D4:K4"/>
    <mergeCell ref="L4:U4"/>
    <mergeCell ref="V4:AE4"/>
    <mergeCell ref="AF4:AF6"/>
    <mergeCell ref="AU4:AV5"/>
    <mergeCell ref="AW4:AW5"/>
    <mergeCell ref="AX4:AX6"/>
    <mergeCell ref="AY4:AY6"/>
    <mergeCell ref="D5:D6"/>
    <mergeCell ref="E5:E6"/>
    <mergeCell ref="F5:F6"/>
    <mergeCell ref="G5:H5"/>
    <mergeCell ref="I5:J5"/>
    <mergeCell ref="K5:K6"/>
    <mergeCell ref="AM4:AM6"/>
    <mergeCell ref="AN4:AN6"/>
    <mergeCell ref="AO4:AO6"/>
    <mergeCell ref="AP4:AP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4"/>
  <sheetViews>
    <sheetView workbookViewId="0">
      <selection activeCell="L14" sqref="L14"/>
    </sheetView>
  </sheetViews>
  <sheetFormatPr defaultColWidth="8.109375" defaultRowHeight="18.75" x14ac:dyDescent="0.3"/>
  <cols>
    <col min="1" max="1" width="2.88671875" style="387" customWidth="1"/>
    <col min="2" max="2" width="17.33203125" style="49" customWidth="1"/>
    <col min="3" max="3" width="6.88671875" style="63" customWidth="1"/>
    <col min="4" max="4" width="5.5546875" style="64" customWidth="1"/>
    <col min="5" max="5" width="7.21875" style="64" customWidth="1"/>
    <col min="6" max="6" width="6.33203125" style="49" customWidth="1"/>
    <col min="7" max="7" width="4.44140625" style="49" customWidth="1"/>
    <col min="8" max="8" width="3.77734375" style="49" customWidth="1"/>
    <col min="9" max="9" width="5.5546875" style="49" customWidth="1"/>
    <col min="10" max="10" width="4.109375" style="387" customWidth="1"/>
    <col min="11" max="11" width="7.6640625" style="49" customWidth="1"/>
    <col min="12" max="12" width="6.44140625" style="387" customWidth="1"/>
    <col min="13" max="13" width="9.33203125" style="49" customWidth="1"/>
    <col min="14" max="14" width="3.88671875" style="49" customWidth="1"/>
    <col min="15" max="15" width="6.33203125" style="49" customWidth="1"/>
    <col min="16" max="16" width="7.88671875" style="49" customWidth="1"/>
    <col min="17" max="17" width="4.6640625" style="50" customWidth="1"/>
    <col min="18" max="18" width="7.88671875" style="49" customWidth="1"/>
    <col min="19" max="19" width="4" style="49" customWidth="1"/>
    <col min="20" max="20" width="7.44140625" style="49" customWidth="1"/>
    <col min="21" max="21" width="4.109375" style="49" customWidth="1"/>
    <col min="22" max="22" width="5.6640625" style="50" customWidth="1"/>
    <col min="23" max="23" width="6.33203125" style="50" customWidth="1"/>
    <col min="24" max="24" width="7.5546875" style="49" customWidth="1"/>
    <col min="25" max="25" width="7.33203125" style="49" customWidth="1"/>
    <col min="26" max="26" width="6.44140625" style="49" customWidth="1"/>
    <col min="27" max="27" width="9.77734375" style="49" customWidth="1"/>
    <col min="28" max="28" width="6.5546875" style="49" customWidth="1"/>
    <col min="29" max="29" width="10.33203125" style="49" customWidth="1"/>
    <col min="30" max="30" width="7.77734375" style="49" customWidth="1"/>
    <col min="31" max="31" width="8.88671875" style="49" customWidth="1"/>
    <col min="32" max="32" width="4.88671875" style="49" customWidth="1"/>
    <col min="33" max="33" width="4.21875" style="49" customWidth="1"/>
    <col min="34" max="34" width="9.88671875" style="49" customWidth="1"/>
    <col min="35" max="35" width="10.88671875" style="49" customWidth="1"/>
    <col min="36" max="36" width="10.44140625" style="49" customWidth="1"/>
    <col min="37" max="38" width="10.21875" style="49" customWidth="1"/>
    <col min="39" max="39" width="21.21875" style="127" customWidth="1"/>
    <col min="40" max="40" width="10.6640625" style="49" customWidth="1"/>
    <col min="41" max="41" width="16.21875" style="49" bestFit="1" customWidth="1"/>
    <col min="42" max="42" width="13.44140625" style="49" customWidth="1"/>
    <col min="43" max="44" width="13.5546875" style="49" customWidth="1"/>
    <col min="45" max="45" width="14.6640625" style="49" customWidth="1"/>
    <col min="46" max="47" width="13.88671875" style="49" customWidth="1"/>
    <col min="48" max="49" width="12.5546875" style="49" bestFit="1" customWidth="1"/>
    <col min="50" max="50" width="14.88671875" style="49" bestFit="1" customWidth="1"/>
    <col min="51" max="51" width="14" style="49" customWidth="1"/>
    <col min="52" max="52" width="7.109375" style="49" customWidth="1"/>
    <col min="53" max="54" width="14.44140625" style="49" customWidth="1"/>
    <col min="55" max="55" width="12.5546875" style="49" bestFit="1" customWidth="1"/>
    <col min="56" max="56" width="8.21875" style="49" bestFit="1" customWidth="1"/>
    <col min="57" max="57" width="14.88671875" style="49" customWidth="1"/>
    <col min="58" max="16384" width="8.109375" style="49"/>
  </cols>
  <sheetData>
    <row r="1" spans="1:57" s="58" customFormat="1" x14ac:dyDescent="0.3">
      <c r="A1" s="692" t="s">
        <v>28</v>
      </c>
      <c r="B1" s="692"/>
      <c r="C1" s="692"/>
      <c r="D1" s="692"/>
      <c r="E1" s="692"/>
      <c r="F1" s="692"/>
      <c r="G1" s="692"/>
      <c r="H1" s="692"/>
      <c r="I1" s="692"/>
      <c r="J1" s="387"/>
      <c r="K1" s="49"/>
      <c r="L1" s="387"/>
      <c r="M1" s="49"/>
      <c r="N1" s="49"/>
      <c r="O1" s="49"/>
      <c r="P1" s="49"/>
      <c r="Q1" s="50"/>
      <c r="R1" s="49"/>
      <c r="S1" s="49"/>
      <c r="T1" s="49"/>
      <c r="U1" s="49"/>
      <c r="V1" s="50"/>
      <c r="W1" s="50"/>
      <c r="X1" s="49"/>
      <c r="Y1" s="49"/>
      <c r="Z1" s="49"/>
      <c r="AA1" s="49"/>
      <c r="AB1" s="49"/>
      <c r="AC1" s="49"/>
      <c r="AD1" s="49"/>
      <c r="AE1" s="49"/>
      <c r="AF1" s="660" t="s">
        <v>29</v>
      </c>
      <c r="AG1" s="660"/>
      <c r="AH1" s="660"/>
      <c r="AI1" s="49"/>
      <c r="AJ1" s="49"/>
      <c r="AK1" s="49"/>
      <c r="AL1" s="49"/>
      <c r="AM1" s="51"/>
      <c r="AN1" s="52"/>
      <c r="AO1" s="53"/>
      <c r="AP1" s="54"/>
      <c r="AQ1" s="54"/>
      <c r="AR1" s="54"/>
      <c r="AS1" s="55"/>
      <c r="AT1" s="51"/>
      <c r="AU1" s="51"/>
      <c r="AV1" s="56"/>
      <c r="AW1" s="57"/>
      <c r="AX1" s="57"/>
    </row>
    <row r="2" spans="1:57" s="58" customFormat="1" x14ac:dyDescent="0.3">
      <c r="A2" s="710" t="s">
        <v>30</v>
      </c>
      <c r="B2" s="710"/>
      <c r="C2" s="710"/>
      <c r="D2" s="710"/>
      <c r="E2" s="710"/>
      <c r="F2" s="710"/>
      <c r="G2" s="710"/>
      <c r="H2" s="710"/>
      <c r="I2" s="710"/>
      <c r="J2" s="387"/>
      <c r="K2" s="49"/>
      <c r="L2" s="387"/>
      <c r="M2" s="49"/>
      <c r="N2" s="49"/>
      <c r="O2" s="49"/>
      <c r="P2" s="49"/>
      <c r="Q2" s="50"/>
      <c r="R2" s="49"/>
      <c r="S2" s="49"/>
      <c r="T2" s="49"/>
      <c r="U2" s="49"/>
      <c r="V2" s="50"/>
      <c r="W2" s="50"/>
      <c r="X2" s="49"/>
      <c r="Y2" s="49"/>
      <c r="Z2" s="49"/>
      <c r="AA2" s="49"/>
      <c r="AB2" s="49"/>
      <c r="AC2" s="49"/>
      <c r="AD2" s="49"/>
      <c r="AE2" s="49"/>
      <c r="AF2" s="49"/>
      <c r="AG2" s="49"/>
      <c r="AH2" s="49"/>
      <c r="AI2" s="49"/>
      <c r="AJ2" s="49"/>
      <c r="AK2" s="49"/>
      <c r="AL2" s="49"/>
      <c r="AM2" s="51"/>
      <c r="AN2" s="59"/>
      <c r="AO2" s="59"/>
      <c r="AP2" s="60"/>
      <c r="AQ2" s="60"/>
      <c r="AR2" s="60"/>
      <c r="AS2" s="61"/>
      <c r="AT2" s="51"/>
      <c r="AU2" s="51"/>
      <c r="AV2" s="62"/>
      <c r="AW2" s="57"/>
      <c r="AX2" s="57"/>
    </row>
    <row r="3" spans="1:57" s="58" customFormat="1" x14ac:dyDescent="0.3">
      <c r="A3" s="387"/>
      <c r="B3" s="49"/>
      <c r="C3" s="670"/>
      <c r="D3" s="670"/>
      <c r="E3" s="670"/>
      <c r="F3" s="670"/>
      <c r="G3" s="670"/>
      <c r="H3" s="670"/>
      <c r="I3" s="670"/>
      <c r="J3" s="387"/>
      <c r="K3" s="49"/>
      <c r="L3" s="387"/>
      <c r="M3" s="49"/>
      <c r="N3" s="49"/>
      <c r="O3" s="49"/>
      <c r="P3" s="49"/>
      <c r="Q3" s="50"/>
      <c r="R3" s="49"/>
      <c r="S3" s="49"/>
      <c r="T3" s="49"/>
      <c r="U3" s="49"/>
      <c r="V3" s="50"/>
      <c r="W3" s="50"/>
      <c r="X3" s="49"/>
      <c r="Y3" s="49"/>
      <c r="Z3" s="49"/>
      <c r="AA3" s="49"/>
      <c r="AB3" s="49"/>
      <c r="AC3" s="49"/>
      <c r="AD3" s="49"/>
      <c r="AE3" s="49"/>
      <c r="AF3" s="49"/>
      <c r="AG3" s="49"/>
      <c r="AH3" s="49"/>
      <c r="AI3" s="49"/>
      <c r="AJ3" s="49"/>
      <c r="AK3" s="49"/>
      <c r="AL3" s="49"/>
      <c r="AM3" s="51"/>
      <c r="AN3" s="53"/>
      <c r="AO3" s="53"/>
      <c r="AP3" s="54"/>
      <c r="AQ3" s="54"/>
      <c r="AR3" s="54"/>
      <c r="AS3" s="55"/>
      <c r="AT3" s="51"/>
      <c r="AU3" s="51"/>
      <c r="AV3" s="56"/>
      <c r="AW3" s="57"/>
      <c r="AX3" s="57"/>
    </row>
    <row r="4" spans="1:57" s="58" customFormat="1" x14ac:dyDescent="0.3">
      <c r="A4" s="711" t="s">
        <v>380</v>
      </c>
      <c r="B4" s="711"/>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516"/>
      <c r="AK4" s="516"/>
      <c r="AL4" s="516"/>
      <c r="AM4" s="51"/>
      <c r="AN4" s="59"/>
      <c r="AO4" s="59"/>
      <c r="AP4" s="66"/>
      <c r="AQ4" s="66"/>
      <c r="AR4" s="66"/>
      <c r="AS4" s="67"/>
      <c r="AT4" s="68"/>
      <c r="AU4" s="68"/>
      <c r="AV4" s="69"/>
      <c r="AW4" s="57"/>
      <c r="AX4" s="57"/>
    </row>
    <row r="5" spans="1:57" s="58" customFormat="1" ht="24" x14ac:dyDescent="0.3">
      <c r="A5" s="712" t="s">
        <v>0</v>
      </c>
      <c r="B5" s="714" t="s">
        <v>31</v>
      </c>
      <c r="C5" s="714" t="s">
        <v>32</v>
      </c>
      <c r="D5" s="719" t="s">
        <v>192</v>
      </c>
      <c r="E5" s="719" t="s">
        <v>191</v>
      </c>
      <c r="F5" s="715" t="s">
        <v>33</v>
      </c>
      <c r="G5" s="717" t="s">
        <v>34</v>
      </c>
      <c r="H5" s="698" t="s">
        <v>35</v>
      </c>
      <c r="I5" s="698"/>
      <c r="J5" s="698" t="s">
        <v>35</v>
      </c>
      <c r="K5" s="698"/>
      <c r="L5" s="680" t="s">
        <v>36</v>
      </c>
      <c r="M5" s="680" t="s">
        <v>37</v>
      </c>
      <c r="N5" s="769" t="s">
        <v>38</v>
      </c>
      <c r="O5" s="770"/>
      <c r="P5" s="771"/>
      <c r="Q5" s="714" t="s">
        <v>39</v>
      </c>
      <c r="R5" s="698" t="s">
        <v>73</v>
      </c>
      <c r="S5" s="698" t="s">
        <v>74</v>
      </c>
      <c r="T5" s="698"/>
      <c r="U5" s="698" t="s">
        <v>75</v>
      </c>
      <c r="V5" s="698"/>
      <c r="W5" s="680" t="s">
        <v>217</v>
      </c>
      <c r="X5" s="776" t="s">
        <v>40</v>
      </c>
      <c r="Y5" s="776"/>
      <c r="Z5" s="508" t="s">
        <v>68</v>
      </c>
      <c r="AA5" s="776" t="s">
        <v>41</v>
      </c>
      <c r="AB5" s="776"/>
      <c r="AC5" s="776" t="s">
        <v>42</v>
      </c>
      <c r="AD5" s="776"/>
      <c r="AE5" s="517" t="s">
        <v>43</v>
      </c>
      <c r="AF5" s="714" t="s">
        <v>44</v>
      </c>
      <c r="AG5" s="680" t="s">
        <v>45</v>
      </c>
      <c r="AH5" s="714" t="s">
        <v>46</v>
      </c>
      <c r="AI5" s="714" t="s">
        <v>47</v>
      </c>
      <c r="AJ5" s="71"/>
      <c r="AK5" s="72"/>
      <c r="AL5" s="72"/>
      <c r="AM5" s="703"/>
      <c r="AN5" s="73"/>
      <c r="AO5" s="704" t="s">
        <v>181</v>
      </c>
      <c r="AP5" s="704"/>
      <c r="AQ5" s="704"/>
      <c r="AR5" s="704"/>
      <c r="AS5" s="704"/>
      <c r="AT5" s="392" t="e">
        <f>#REF!-#REF!</f>
        <v>#REF!</v>
      </c>
      <c r="AU5" s="392"/>
      <c r="AV5" s="73"/>
      <c r="AW5" s="705"/>
      <c r="AX5" s="705"/>
      <c r="AY5" s="705"/>
      <c r="AZ5" s="514"/>
      <c r="BA5" s="73"/>
      <c r="BB5" s="73"/>
      <c r="BC5" s="73"/>
      <c r="BD5" s="73"/>
    </row>
    <row r="6" spans="1:57" s="58" customFormat="1" ht="60.75" thickBot="1" x14ac:dyDescent="0.35">
      <c r="A6" s="713"/>
      <c r="B6" s="713"/>
      <c r="C6" s="713"/>
      <c r="D6" s="720"/>
      <c r="E6" s="720"/>
      <c r="F6" s="716"/>
      <c r="G6" s="718"/>
      <c r="H6" s="504" t="s">
        <v>48</v>
      </c>
      <c r="I6" s="507" t="s">
        <v>49</v>
      </c>
      <c r="J6" s="504" t="s">
        <v>48</v>
      </c>
      <c r="K6" s="507" t="s">
        <v>50</v>
      </c>
      <c r="L6" s="696"/>
      <c r="M6" s="696"/>
      <c r="N6" s="507" t="s">
        <v>48</v>
      </c>
      <c r="O6" s="74" t="s">
        <v>51</v>
      </c>
      <c r="P6" s="75" t="s">
        <v>52</v>
      </c>
      <c r="Q6" s="713"/>
      <c r="R6" s="698"/>
      <c r="S6" s="398" t="s">
        <v>35</v>
      </c>
      <c r="T6" s="398" t="s">
        <v>76</v>
      </c>
      <c r="U6" s="398" t="s">
        <v>35</v>
      </c>
      <c r="V6" s="398" t="s">
        <v>76</v>
      </c>
      <c r="W6" s="697"/>
      <c r="X6" s="506" t="s">
        <v>69</v>
      </c>
      <c r="Y6" s="506" t="s">
        <v>53</v>
      </c>
      <c r="Z6" s="506" t="s">
        <v>70</v>
      </c>
      <c r="AA6" s="506" t="s">
        <v>54</v>
      </c>
      <c r="AB6" s="506" t="s">
        <v>55</v>
      </c>
      <c r="AC6" s="506" t="s">
        <v>56</v>
      </c>
      <c r="AD6" s="506" t="s">
        <v>57</v>
      </c>
      <c r="AE6" s="506" t="s">
        <v>58</v>
      </c>
      <c r="AF6" s="713"/>
      <c r="AG6" s="697"/>
      <c r="AH6" s="713"/>
      <c r="AI6" s="713"/>
      <c r="AJ6" s="488" t="e">
        <f>#REF!-#REF!</f>
        <v>#REF!</v>
      </c>
      <c r="AK6" s="77"/>
      <c r="AL6" s="77"/>
      <c r="AM6" s="703"/>
      <c r="AN6" s="78"/>
      <c r="AO6" s="79" t="s">
        <v>312</v>
      </c>
      <c r="AP6" s="78"/>
      <c r="AQ6" s="80" t="e">
        <f>#REF!-AH8</f>
        <v>#REF!</v>
      </c>
      <c r="AR6" s="80"/>
      <c r="AS6" s="78"/>
      <c r="AT6" s="78"/>
      <c r="AU6" s="78"/>
      <c r="AV6" s="78"/>
      <c r="AW6" s="78"/>
      <c r="AX6" s="78"/>
      <c r="AY6" s="78" t="s">
        <v>253</v>
      </c>
      <c r="AZ6" s="78"/>
      <c r="BA6" s="78"/>
      <c r="BB6" s="78"/>
      <c r="BC6" s="78"/>
      <c r="BD6" s="78"/>
    </row>
    <row r="7" spans="1:57" s="58" customFormat="1" ht="16.5" thickTop="1" thickBot="1" x14ac:dyDescent="0.3">
      <c r="A7" s="399" t="s">
        <v>1</v>
      </c>
      <c r="B7" s="399" t="s">
        <v>2</v>
      </c>
      <c r="C7" s="399" t="s">
        <v>59</v>
      </c>
      <c r="D7" s="400">
        <v>1</v>
      </c>
      <c r="E7" s="400">
        <v>2</v>
      </c>
      <c r="F7" s="400">
        <v>3</v>
      </c>
      <c r="G7" s="400">
        <v>4</v>
      </c>
      <c r="H7" s="772">
        <v>5</v>
      </c>
      <c r="I7" s="773"/>
      <c r="J7" s="772">
        <v>6</v>
      </c>
      <c r="K7" s="773"/>
      <c r="L7" s="399">
        <v>7</v>
      </c>
      <c r="M7" s="399">
        <v>8</v>
      </c>
      <c r="N7" s="772">
        <v>9</v>
      </c>
      <c r="O7" s="773"/>
      <c r="P7" s="401">
        <v>10</v>
      </c>
      <c r="Q7" s="399">
        <v>11</v>
      </c>
      <c r="R7" s="401">
        <v>12</v>
      </c>
      <c r="S7" s="774">
        <v>13</v>
      </c>
      <c r="T7" s="775"/>
      <c r="U7" s="772">
        <v>14</v>
      </c>
      <c r="V7" s="773"/>
      <c r="W7" s="519">
        <v>15</v>
      </c>
      <c r="X7" s="519">
        <v>16</v>
      </c>
      <c r="Y7" s="519">
        <v>17</v>
      </c>
      <c r="Z7" s="519">
        <v>18</v>
      </c>
      <c r="AA7" s="519">
        <v>19</v>
      </c>
      <c r="AB7" s="519">
        <v>20</v>
      </c>
      <c r="AC7" s="519">
        <v>21</v>
      </c>
      <c r="AD7" s="519">
        <v>22</v>
      </c>
      <c r="AE7" s="519">
        <v>23</v>
      </c>
      <c r="AF7" s="519">
        <v>24</v>
      </c>
      <c r="AG7" s="519">
        <v>25</v>
      </c>
      <c r="AH7" s="519">
        <v>26</v>
      </c>
      <c r="AI7" s="399" t="s">
        <v>60</v>
      </c>
      <c r="AJ7" s="396"/>
      <c r="AK7" s="340" t="e">
        <f>AJ8-#REF!</f>
        <v>#REF!</v>
      </c>
      <c r="AL7" s="396"/>
      <c r="AM7" s="350">
        <f>AL7-AL8</f>
        <v>0</v>
      </c>
      <c r="AN7" s="85"/>
      <c r="AO7" s="85" t="s">
        <v>252</v>
      </c>
      <c r="AP7" s="85" t="s">
        <v>313</v>
      </c>
      <c r="AQ7" s="85" t="s">
        <v>314</v>
      </c>
      <c r="AR7" s="85" t="s">
        <v>317</v>
      </c>
      <c r="AS7" s="85" t="s">
        <v>360</v>
      </c>
      <c r="AT7" s="86" t="s">
        <v>315</v>
      </c>
      <c r="AU7" s="393"/>
      <c r="AV7" s="78"/>
      <c r="AW7" s="706" t="s">
        <v>182</v>
      </c>
      <c r="AX7" s="707"/>
      <c r="AY7" s="707"/>
      <c r="AZ7" s="87"/>
      <c r="BA7" s="88"/>
      <c r="BB7" s="88"/>
      <c r="BC7" s="78"/>
      <c r="BD7" s="78"/>
    </row>
    <row r="8" spans="1:57" ht="19.5" thickBot="1" x14ac:dyDescent="0.35">
      <c r="A8" s="518" t="s">
        <v>61</v>
      </c>
      <c r="B8" s="89" t="s">
        <v>62</v>
      </c>
      <c r="C8" s="402"/>
      <c r="D8" s="403"/>
      <c r="E8" s="404"/>
      <c r="F8" s="405">
        <f>SUM(F9:F9)</f>
        <v>4</v>
      </c>
      <c r="G8" s="405">
        <f>SUM(G9:G9)</f>
        <v>0</v>
      </c>
      <c r="H8" s="405">
        <v>0</v>
      </c>
      <c r="I8" s="406">
        <f>SUM(I9:I9)</f>
        <v>0</v>
      </c>
      <c r="J8" s="518"/>
      <c r="K8" s="406">
        <f>SUM(K9:K9)</f>
        <v>0.4</v>
      </c>
      <c r="L8" s="406">
        <f>SUM(L9:L9)</f>
        <v>4.4000000000000004</v>
      </c>
      <c r="M8" s="410">
        <f>SUM(M9:M9)</f>
        <v>10296000</v>
      </c>
      <c r="N8" s="406"/>
      <c r="O8" s="406">
        <f>SUM(O9:O9)</f>
        <v>2</v>
      </c>
      <c r="P8" s="410">
        <f>SUM(P9:P9)</f>
        <v>4680000</v>
      </c>
      <c r="Q8" s="410"/>
      <c r="R8" s="410">
        <f>SUM(R9:R9)</f>
        <v>1170000</v>
      </c>
      <c r="S8" s="405">
        <v>0</v>
      </c>
      <c r="T8" s="410">
        <f t="shared" ref="T8:AG8" si="0">SUM(T9:T9)</f>
        <v>0</v>
      </c>
      <c r="U8" s="405">
        <f t="shared" si="0"/>
        <v>0</v>
      </c>
      <c r="V8" s="410">
        <f t="shared" si="0"/>
        <v>0</v>
      </c>
      <c r="W8" s="410">
        <f t="shared" si="0"/>
        <v>0</v>
      </c>
      <c r="X8" s="410">
        <f t="shared" si="0"/>
        <v>1750320</v>
      </c>
      <c r="Y8" s="410">
        <f t="shared" si="0"/>
        <v>823680</v>
      </c>
      <c r="Z8" s="410">
        <f t="shared" si="0"/>
        <v>51480</v>
      </c>
      <c r="AA8" s="410">
        <f t="shared" si="0"/>
        <v>308880</v>
      </c>
      <c r="AB8" s="410">
        <f t="shared" si="0"/>
        <v>154440</v>
      </c>
      <c r="AC8" s="410">
        <f t="shared" si="0"/>
        <v>102960</v>
      </c>
      <c r="AD8" s="410">
        <f t="shared" si="0"/>
        <v>102960</v>
      </c>
      <c r="AE8" s="410">
        <f t="shared" si="0"/>
        <v>205920</v>
      </c>
      <c r="AF8" s="410">
        <f t="shared" si="0"/>
        <v>0</v>
      </c>
      <c r="AG8" s="410">
        <f t="shared" si="0"/>
        <v>0</v>
      </c>
      <c r="AH8" s="410">
        <f>SUM(AH9:AH9)</f>
        <v>15064920</v>
      </c>
      <c r="AI8" s="410"/>
      <c r="AJ8" s="410">
        <f>SUM(AJ9:AJ9)</f>
        <v>0</v>
      </c>
      <c r="AK8" s="410"/>
      <c r="AL8" s="410"/>
      <c r="AM8" s="96" t="s">
        <v>176</v>
      </c>
      <c r="AN8" s="97">
        <v>6001</v>
      </c>
      <c r="AO8" s="98">
        <f>ROUND(((F8)*2340000)*89.5%,0)-2</f>
        <v>8377198</v>
      </c>
      <c r="AP8" s="98"/>
      <c r="AQ8" s="98"/>
      <c r="AR8" s="98"/>
      <c r="AS8" s="98"/>
      <c r="AT8" s="99">
        <f>AS8+AR8+AQ8+AP8+AO8</f>
        <v>8377198</v>
      </c>
      <c r="AU8" s="99">
        <f>AR8+AQ8+AP8+AO8</f>
        <v>8377198</v>
      </c>
      <c r="AV8" s="100">
        <v>6001</v>
      </c>
      <c r="AW8" s="101" t="s">
        <v>183</v>
      </c>
      <c r="AX8" s="98">
        <f>ROUND((F8)*2340000,0)</f>
        <v>9360000</v>
      </c>
      <c r="AY8" s="101"/>
      <c r="AZ8" s="102"/>
      <c r="BA8" s="103"/>
      <c r="BB8" s="104"/>
      <c r="BC8" s="105"/>
      <c r="BD8" s="106"/>
      <c r="BE8" s="107"/>
    </row>
    <row r="9" spans="1:57" ht="20.25" x14ac:dyDescent="0.4">
      <c r="A9" s="412">
        <v>1</v>
      </c>
      <c r="B9" s="466" t="s">
        <v>369</v>
      </c>
      <c r="C9" s="414" t="s">
        <v>370</v>
      </c>
      <c r="D9" s="428" t="s">
        <v>371</v>
      </c>
      <c r="E9" s="467" t="s">
        <v>334</v>
      </c>
      <c r="F9" s="417">
        <v>4</v>
      </c>
      <c r="G9" s="417"/>
      <c r="H9" s="435"/>
      <c r="I9" s="414"/>
      <c r="J9" s="420">
        <v>10</v>
      </c>
      <c r="K9" s="421">
        <f>ROUND((F9+G9+I9)*J9/100,4)</f>
        <v>0.4</v>
      </c>
      <c r="L9" s="421">
        <f t="shared" ref="L9" si="1">F9+G9+I9+K9</f>
        <v>4.4000000000000004</v>
      </c>
      <c r="M9" s="422">
        <f t="shared" ref="M9" si="2">ROUND(L9*2340000,0)</f>
        <v>10296000</v>
      </c>
      <c r="N9" s="423">
        <v>0.5</v>
      </c>
      <c r="O9" s="424">
        <f t="shared" ref="O9" si="3">(F9+G9+I9)*N9</f>
        <v>2</v>
      </c>
      <c r="P9" s="422">
        <f t="shared" ref="P9" si="4">ROUND(O9*2340000,0)</f>
        <v>4680000</v>
      </c>
      <c r="Q9" s="425"/>
      <c r="R9" s="422">
        <f t="shared" ref="R9" si="5">ROUND(0.5*2340000,0)</f>
        <v>1170000</v>
      </c>
      <c r="S9" s="426"/>
      <c r="T9" s="422">
        <f t="shared" ref="T9" si="6">S9*2340000</f>
        <v>0</v>
      </c>
      <c r="U9" s="426"/>
      <c r="V9" s="427">
        <f t="shared" ref="V9" si="7">U9*2340000</f>
        <v>0</v>
      </c>
      <c r="W9" s="427"/>
      <c r="X9" s="422">
        <f t="shared" ref="X9" si="8">ROUND((L9*2340000*17/100),0)</f>
        <v>1750320</v>
      </c>
      <c r="Y9" s="422">
        <f t="shared" ref="Y9" si="9">ROUND((L9*2340000*8/100),0)</f>
        <v>823680</v>
      </c>
      <c r="Z9" s="422">
        <f t="shared" ref="Z9" si="10">ROUND((L9*2340000*0.5/100),0)</f>
        <v>51480</v>
      </c>
      <c r="AA9" s="422">
        <f t="shared" ref="AA9" si="11">ROUND((L9*2340000*3/100),0)</f>
        <v>308880</v>
      </c>
      <c r="AB9" s="422">
        <f t="shared" ref="AB9" si="12">ROUND((L9*2340000*1.5/100),0)</f>
        <v>154440</v>
      </c>
      <c r="AC9" s="422">
        <f t="shared" ref="AC9" si="13">ROUND((L9*2340000*1/100),0)</f>
        <v>102960</v>
      </c>
      <c r="AD9" s="422">
        <f t="shared" ref="AD9" si="14">ROUND((L9*2340000*1/100),0)</f>
        <v>102960</v>
      </c>
      <c r="AE9" s="422">
        <f t="shared" ref="AE9" si="15">ROUND((L9*2340000*2/100),0)</f>
        <v>205920</v>
      </c>
      <c r="AF9" s="413"/>
      <c r="AG9" s="422"/>
      <c r="AH9" s="422">
        <f>M9-Y9-AB9-AD9+P9+R9+T9+V9+W9</f>
        <v>15064920</v>
      </c>
      <c r="AI9" s="413"/>
      <c r="AJ9" s="335"/>
      <c r="AK9" s="334"/>
      <c r="AL9" s="121"/>
      <c r="AM9" s="173"/>
      <c r="AN9" s="321"/>
      <c r="AO9" s="322"/>
      <c r="AP9" s="322"/>
      <c r="AQ9" s="321"/>
      <c r="AR9" s="321"/>
      <c r="AS9" s="179"/>
      <c r="AT9" s="180"/>
      <c r="AU9" s="180"/>
      <c r="AV9" s="88"/>
      <c r="AW9" s="468">
        <v>139243480</v>
      </c>
      <c r="AX9" s="469">
        <v>124000</v>
      </c>
      <c r="AY9" s="182"/>
      <c r="AZ9" s="182"/>
      <c r="BA9" s="183"/>
      <c r="BB9" s="88"/>
      <c r="BC9" s="184"/>
      <c r="BD9" s="173"/>
    </row>
    <row r="10" spans="1:57" s="144" customFormat="1" ht="13.5" x14ac:dyDescent="0.25">
      <c r="A10" s="777" t="s">
        <v>63</v>
      </c>
      <c r="B10" s="778"/>
      <c r="C10" s="484"/>
      <c r="D10" s="484"/>
      <c r="E10" s="484"/>
      <c r="F10" s="485">
        <f>F8</f>
        <v>4</v>
      </c>
      <c r="G10" s="485">
        <f t="shared" ref="G10:I10" si="16">G8</f>
        <v>0</v>
      </c>
      <c r="H10" s="485">
        <f t="shared" si="16"/>
        <v>0</v>
      </c>
      <c r="I10" s="485">
        <f t="shared" si="16"/>
        <v>0</v>
      </c>
      <c r="J10" s="485"/>
      <c r="K10" s="486">
        <f>K8</f>
        <v>0.4</v>
      </c>
      <c r="L10" s="486">
        <f>L8</f>
        <v>4.4000000000000004</v>
      </c>
      <c r="M10" s="475">
        <f>M8</f>
        <v>10296000</v>
      </c>
      <c r="N10" s="475"/>
      <c r="O10" s="487">
        <f>O8</f>
        <v>2</v>
      </c>
      <c r="P10" s="475">
        <f>P8</f>
        <v>4680000</v>
      </c>
      <c r="Q10" s="475"/>
      <c r="R10" s="475">
        <f t="shared" ref="R10" si="17">R8</f>
        <v>1170000</v>
      </c>
      <c r="S10" s="624">
        <v>0</v>
      </c>
      <c r="T10" s="475">
        <f>T8</f>
        <v>0</v>
      </c>
      <c r="U10" s="475">
        <f t="shared" ref="U10:V10" si="18">U8</f>
        <v>0</v>
      </c>
      <c r="V10" s="475">
        <f t="shared" si="18"/>
        <v>0</v>
      </c>
      <c r="W10" s="475">
        <f>W8</f>
        <v>0</v>
      </c>
      <c r="X10" s="475">
        <f>X8</f>
        <v>1750320</v>
      </c>
      <c r="Y10" s="475">
        <f t="shared" ref="Y10:AH10" si="19">Y8</f>
        <v>823680</v>
      </c>
      <c r="Z10" s="475">
        <f t="shared" si="19"/>
        <v>51480</v>
      </c>
      <c r="AA10" s="475">
        <f t="shared" si="19"/>
        <v>308880</v>
      </c>
      <c r="AB10" s="475">
        <f t="shared" si="19"/>
        <v>154440</v>
      </c>
      <c r="AC10" s="475">
        <f t="shared" si="19"/>
        <v>102960</v>
      </c>
      <c r="AD10" s="475">
        <f t="shared" si="19"/>
        <v>102960</v>
      </c>
      <c r="AE10" s="475">
        <f t="shared" si="19"/>
        <v>205920</v>
      </c>
      <c r="AF10" s="475">
        <f t="shared" si="19"/>
        <v>0</v>
      </c>
      <c r="AG10" s="475">
        <f t="shared" si="19"/>
        <v>0</v>
      </c>
      <c r="AH10" s="475">
        <f t="shared" si="19"/>
        <v>15064920</v>
      </c>
      <c r="AI10" s="475"/>
      <c r="AJ10" s="386"/>
      <c r="AK10" s="386"/>
      <c r="AL10" s="240"/>
      <c r="AM10" s="218" t="e">
        <f>AK10-#REF!</f>
        <v>#REF!</v>
      </c>
      <c r="AN10" s="219"/>
      <c r="AO10" s="220"/>
      <c r="AP10" s="221"/>
      <c r="AQ10" s="222"/>
      <c r="AR10" s="222"/>
      <c r="AS10" s="223"/>
      <c r="AT10" s="219"/>
      <c r="AU10" s="219"/>
      <c r="AV10" s="224"/>
      <c r="AW10" s="233"/>
      <c r="AX10" s="234"/>
      <c r="AY10" s="227"/>
      <c r="AZ10" s="228"/>
      <c r="BA10" s="229"/>
      <c r="BB10" s="230"/>
    </row>
    <row r="11" spans="1:57" x14ac:dyDescent="0.3">
      <c r="A11" s="729" t="s">
        <v>379</v>
      </c>
      <c r="B11" s="729"/>
      <c r="C11" s="729"/>
      <c r="D11" s="729"/>
      <c r="E11" s="729"/>
      <c r="F11" s="729"/>
      <c r="G11" s="729"/>
      <c r="H11" s="729"/>
      <c r="I11" s="729"/>
      <c r="J11" s="729"/>
      <c r="K11" s="729"/>
      <c r="L11" s="729"/>
      <c r="M11" s="729"/>
      <c r="N11" s="729"/>
      <c r="O11" s="729"/>
      <c r="P11" s="729"/>
      <c r="Q11" s="729"/>
      <c r="R11" s="729"/>
      <c r="S11" s="729"/>
      <c r="T11" s="729"/>
      <c r="U11" s="729"/>
      <c r="V11" s="729"/>
      <c r="W11" s="729"/>
      <c r="X11" s="729"/>
      <c r="Y11" s="729"/>
      <c r="Z11" s="729"/>
      <c r="AA11" s="729"/>
      <c r="AB11" s="58"/>
      <c r="AC11" s="58"/>
      <c r="AD11" s="58"/>
      <c r="AE11" s="58"/>
      <c r="AF11" s="58"/>
      <c r="AG11" s="58"/>
      <c r="AH11" s="58"/>
      <c r="AI11" s="58"/>
      <c r="AJ11" s="335"/>
      <c r="AK11" s="334"/>
      <c r="AL11" s="58"/>
      <c r="AM11" s="218"/>
      <c r="AN11" s="173"/>
      <c r="AO11" s="173"/>
      <c r="AP11" s="173"/>
      <c r="AQ11" s="173"/>
      <c r="AR11" s="173"/>
      <c r="AS11" s="173"/>
      <c r="AT11" s="173"/>
      <c r="AU11" s="173"/>
    </row>
    <row r="12" spans="1:57" x14ac:dyDescent="0.3">
      <c r="A12" s="241"/>
      <c r="B12" s="58"/>
      <c r="C12" s="242"/>
      <c r="F12" s="243"/>
      <c r="G12" s="243"/>
      <c r="H12" s="58"/>
      <c r="I12" s="58"/>
      <c r="J12" s="242"/>
      <c r="K12" s="58"/>
      <c r="L12" s="242"/>
      <c r="Q12" s="244"/>
      <c r="R12" s="245"/>
      <c r="S12" s="58"/>
      <c r="T12" s="58"/>
      <c r="U12" s="58"/>
      <c r="V12" s="242"/>
      <c r="W12" s="242"/>
      <c r="X12" s="58"/>
      <c r="Y12" s="58"/>
      <c r="Z12" s="58"/>
      <c r="AA12" s="58"/>
      <c r="AB12" s="58"/>
      <c r="AC12" s="730" t="s">
        <v>373</v>
      </c>
      <c r="AD12" s="730"/>
      <c r="AE12" s="730"/>
      <c r="AF12" s="730"/>
      <c r="AG12" s="730"/>
      <c r="AH12" s="730"/>
      <c r="AI12" s="730"/>
      <c r="AJ12" s="335"/>
      <c r="AK12" s="334"/>
      <c r="AL12" s="512"/>
      <c r="AM12" s="218"/>
      <c r="AN12" s="173"/>
      <c r="AO12" s="173"/>
      <c r="AP12" s="173"/>
      <c r="AQ12" s="173"/>
      <c r="AR12" s="173"/>
      <c r="AS12" s="173"/>
      <c r="AT12" s="173"/>
      <c r="AU12" s="173"/>
      <c r="BE12" s="144"/>
    </row>
    <row r="13" spans="1:57" x14ac:dyDescent="0.3">
      <c r="A13" s="246"/>
      <c r="B13" s="660" t="s">
        <v>64</v>
      </c>
      <c r="C13" s="660"/>
      <c r="D13" s="660"/>
      <c r="E13" s="660"/>
      <c r="F13" s="660"/>
      <c r="G13" s="660"/>
      <c r="H13" s="660"/>
      <c r="I13" s="190"/>
      <c r="J13" s="501"/>
      <c r="K13" s="190"/>
      <c r="L13" s="247"/>
      <c r="M13" s="247"/>
      <c r="N13" s="247"/>
      <c r="O13" s="247"/>
      <c r="P13" s="247"/>
      <c r="Q13" s="247"/>
      <c r="R13" s="247"/>
      <c r="S13" s="190"/>
      <c r="T13" s="660" t="s">
        <v>23</v>
      </c>
      <c r="U13" s="660"/>
      <c r="V13" s="660"/>
      <c r="W13" s="660"/>
      <c r="X13" s="190"/>
      <c r="Y13" s="660"/>
      <c r="Z13" s="660"/>
      <c r="AA13" s="660"/>
      <c r="AB13" s="660"/>
      <c r="AC13" s="190"/>
      <c r="AD13" s="730" t="s">
        <v>133</v>
      </c>
      <c r="AE13" s="730"/>
      <c r="AF13" s="730"/>
      <c r="AG13" s="730"/>
      <c r="AH13" s="248"/>
      <c r="AI13" s="248"/>
      <c r="AJ13" s="335"/>
      <c r="AK13" s="334"/>
      <c r="AL13" s="248"/>
      <c r="AM13" s="160"/>
      <c r="AN13" s="203"/>
      <c r="AO13" s="173"/>
      <c r="AP13" s="203"/>
      <c r="AQ13" s="203"/>
      <c r="AR13" s="203"/>
      <c r="AS13" s="203"/>
      <c r="AT13" s="203"/>
      <c r="AU13" s="203"/>
      <c r="AW13" s="144"/>
      <c r="AZ13" s="144"/>
      <c r="BA13" s="144"/>
      <c r="BB13" s="144"/>
      <c r="BC13" s="144"/>
      <c r="BD13" s="144"/>
    </row>
    <row r="14" spans="1:57" x14ac:dyDescent="0.3">
      <c r="A14" s="241"/>
      <c r="B14" s="725" t="s">
        <v>66</v>
      </c>
      <c r="C14" s="725"/>
      <c r="D14" s="725"/>
      <c r="E14" s="725"/>
      <c r="F14" s="725"/>
      <c r="G14" s="725"/>
      <c r="H14" s="725"/>
      <c r="K14" s="249"/>
      <c r="L14" s="174"/>
      <c r="M14" s="174"/>
      <c r="N14" s="174"/>
      <c r="O14" s="174"/>
      <c r="P14" s="174"/>
      <c r="Q14" s="250"/>
      <c r="R14" s="250"/>
      <c r="T14" s="725" t="s">
        <v>66</v>
      </c>
      <c r="U14" s="725"/>
      <c r="V14" s="725"/>
      <c r="W14" s="725"/>
      <c r="Y14" s="725"/>
      <c r="Z14" s="725"/>
      <c r="AA14" s="725"/>
      <c r="AB14" s="725"/>
      <c r="AD14" s="734" t="s">
        <v>220</v>
      </c>
      <c r="AE14" s="734"/>
      <c r="AF14" s="734"/>
      <c r="AG14" s="734"/>
      <c r="AH14" s="58"/>
      <c r="AI14" s="58"/>
      <c r="AJ14" s="335"/>
      <c r="AK14" s="334"/>
      <c r="AL14" s="58"/>
      <c r="AM14" s="127">
        <v>588140030</v>
      </c>
      <c r="AV14" s="144"/>
      <c r="AX14" s="144"/>
      <c r="AY14" s="144"/>
    </row>
    <row r="15" spans="1:57" x14ac:dyDescent="0.3">
      <c r="A15" s="241"/>
      <c r="C15" s="387"/>
      <c r="F15" s="65"/>
      <c r="G15" s="65"/>
      <c r="K15" s="174"/>
      <c r="L15" s="174"/>
      <c r="M15" s="174"/>
      <c r="N15" s="174"/>
      <c r="O15" s="174"/>
      <c r="P15" s="174"/>
      <c r="Q15" s="250"/>
      <c r="R15" s="250"/>
      <c r="V15" s="387"/>
      <c r="W15" s="387"/>
      <c r="AD15" s="251"/>
      <c r="AE15" s="252"/>
      <c r="AF15" s="513"/>
      <c r="AG15" s="513"/>
      <c r="AH15" s="58"/>
      <c r="AI15" s="58"/>
      <c r="AJ15" s="386"/>
      <c r="AK15" s="335"/>
      <c r="AL15" s="58"/>
      <c r="AM15" s="253">
        <v>3138111</v>
      </c>
    </row>
    <row r="16" spans="1:57" x14ac:dyDescent="0.3">
      <c r="A16" s="241"/>
      <c r="B16" s="58"/>
      <c r="C16" s="242"/>
      <c r="F16" s="243"/>
      <c r="G16" s="243"/>
      <c r="H16" s="58"/>
      <c r="I16" s="58"/>
      <c r="J16" s="242"/>
      <c r="K16" s="174"/>
      <c r="L16" s="174"/>
      <c r="M16" s="174"/>
      <c r="N16" s="174"/>
      <c r="O16" s="174"/>
      <c r="P16" s="174"/>
      <c r="Q16" s="250"/>
      <c r="R16" s="250"/>
      <c r="S16" s="58"/>
      <c r="T16" s="58"/>
      <c r="U16" s="58"/>
      <c r="V16" s="242"/>
      <c r="W16" s="242"/>
      <c r="X16" s="58"/>
      <c r="Y16" s="58"/>
      <c r="Z16" s="58"/>
      <c r="AA16" s="58"/>
      <c r="AB16" s="58"/>
      <c r="AC16" s="58"/>
      <c r="AD16" s="251"/>
      <c r="AE16" s="252"/>
      <c r="AF16" s="252"/>
      <c r="AG16" s="252"/>
      <c r="AH16" s="58"/>
      <c r="AI16" s="58"/>
      <c r="AJ16" s="335"/>
      <c r="AK16" s="334"/>
      <c r="AL16" s="58"/>
      <c r="AM16" s="254">
        <f>AM14+AM15</f>
        <v>591278141</v>
      </c>
      <c r="AO16" s="144"/>
    </row>
    <row r="17" spans="1:39" x14ac:dyDescent="0.3">
      <c r="A17" s="241"/>
      <c r="B17" s="58"/>
      <c r="C17" s="242"/>
      <c r="F17" s="243"/>
      <c r="G17" s="243"/>
      <c r="H17" s="58"/>
      <c r="I17" s="58"/>
      <c r="J17" s="242"/>
      <c r="K17" s="174"/>
      <c r="L17" s="174"/>
      <c r="M17" s="174"/>
      <c r="N17" s="174"/>
      <c r="O17" s="174"/>
      <c r="P17" s="174"/>
      <c r="Q17" s="250"/>
      <c r="R17" s="250"/>
      <c r="S17" s="58"/>
      <c r="T17" s="58"/>
      <c r="U17" s="58"/>
      <c r="V17" s="242"/>
      <c r="W17" s="242"/>
      <c r="X17" s="58"/>
      <c r="Y17" s="58"/>
      <c r="Z17" s="58"/>
      <c r="AA17" s="58"/>
      <c r="AB17" s="58"/>
      <c r="AC17" s="58"/>
      <c r="AD17" s="251"/>
      <c r="AE17" s="252"/>
      <c r="AF17" s="252"/>
      <c r="AG17" s="252"/>
      <c r="AH17" s="58"/>
      <c r="AI17" s="58"/>
      <c r="AJ17" s="335"/>
      <c r="AK17" s="334"/>
      <c r="AL17" s="58"/>
      <c r="AM17" s="254"/>
    </row>
    <row r="18" spans="1:39" x14ac:dyDescent="0.3">
      <c r="A18" s="246"/>
      <c r="B18" s="684" t="s">
        <v>174</v>
      </c>
      <c r="C18" s="684"/>
      <c r="D18" s="684"/>
      <c r="E18" s="684"/>
      <c r="F18" s="684"/>
      <c r="G18" s="684"/>
      <c r="H18" s="684"/>
      <c r="I18" s="684"/>
      <c r="J18" s="242"/>
      <c r="K18" s="174"/>
      <c r="L18" s="174"/>
      <c r="M18" s="174"/>
      <c r="N18" s="174"/>
      <c r="O18" s="174"/>
      <c r="P18" s="174"/>
      <c r="Q18" s="250"/>
      <c r="R18" s="250"/>
      <c r="S18" s="726" t="s">
        <v>174</v>
      </c>
      <c r="T18" s="726"/>
      <c r="U18" s="726"/>
      <c r="V18" s="726"/>
      <c r="W18" s="726"/>
      <c r="X18" s="58"/>
      <c r="Y18" s="726"/>
      <c r="Z18" s="726"/>
      <c r="AA18" s="726"/>
      <c r="AB18" s="726"/>
      <c r="AC18" s="726"/>
      <c r="AD18" s="730" t="s">
        <v>350</v>
      </c>
      <c r="AE18" s="730"/>
      <c r="AF18" s="730"/>
      <c r="AG18" s="730"/>
      <c r="AH18" s="248"/>
      <c r="AI18" s="248"/>
      <c r="AJ18" s="386"/>
      <c r="AK18" s="335"/>
      <c r="AL18" s="248"/>
    </row>
    <row r="19" spans="1:39" x14ac:dyDescent="0.3">
      <c r="M19" s="174"/>
      <c r="N19" s="174"/>
      <c r="O19" s="387"/>
      <c r="P19" s="387"/>
      <c r="Q19" s="250"/>
      <c r="R19" s="250"/>
      <c r="AD19" s="730"/>
      <c r="AE19" s="730"/>
      <c r="AF19" s="730"/>
      <c r="AG19" s="730"/>
      <c r="AJ19" s="335"/>
      <c r="AK19" s="334"/>
    </row>
    <row r="20" spans="1:39" x14ac:dyDescent="0.3">
      <c r="M20" s="174"/>
      <c r="N20" s="174"/>
      <c r="O20" s="174"/>
      <c r="P20" s="174"/>
      <c r="Q20" s="250"/>
      <c r="R20" s="250"/>
      <c r="AJ20" s="388"/>
      <c r="AK20" s="337"/>
    </row>
    <row r="21" spans="1:39" x14ac:dyDescent="0.3">
      <c r="M21" s="174"/>
      <c r="N21" s="174"/>
      <c r="O21" s="174"/>
      <c r="P21" s="174"/>
      <c r="Q21" s="250"/>
      <c r="R21" s="250"/>
    </row>
    <row r="22" spans="1:39" x14ac:dyDescent="0.3">
      <c r="M22" s="174"/>
      <c r="N22" s="174"/>
      <c r="O22" s="174"/>
      <c r="P22" s="174"/>
      <c r="Q22" s="250"/>
      <c r="R22" s="250"/>
    </row>
    <row r="23" spans="1:39" x14ac:dyDescent="0.3">
      <c r="M23" s="174"/>
      <c r="N23" s="174"/>
      <c r="O23" s="174"/>
      <c r="P23" s="174"/>
      <c r="Q23" s="250"/>
      <c r="R23" s="250"/>
    </row>
    <row r="24" spans="1:39" x14ac:dyDescent="0.3">
      <c r="Q24" s="250"/>
      <c r="R24" s="250"/>
    </row>
  </sheetData>
  <mergeCells count="54">
    <mergeCell ref="AD19:AG19"/>
    <mergeCell ref="B14:H14"/>
    <mergeCell ref="T14:W14"/>
    <mergeCell ref="Y14:AB14"/>
    <mergeCell ref="AD14:AG14"/>
    <mergeCell ref="B18:I18"/>
    <mergeCell ref="S18:W18"/>
    <mergeCell ref="Y18:AC18"/>
    <mergeCell ref="AD18:AG18"/>
    <mergeCell ref="A10:B10"/>
    <mergeCell ref="A11:AA11"/>
    <mergeCell ref="AC12:AI12"/>
    <mergeCell ref="B13:H13"/>
    <mergeCell ref="T13:W13"/>
    <mergeCell ref="Y13:AB13"/>
    <mergeCell ref="AD13:AG13"/>
    <mergeCell ref="AI5:AI6"/>
    <mergeCell ref="AM5:AM6"/>
    <mergeCell ref="AO5:AS5"/>
    <mergeCell ref="AW5:AY5"/>
    <mergeCell ref="H7:I7"/>
    <mergeCell ref="J7:K7"/>
    <mergeCell ref="N7:O7"/>
    <mergeCell ref="S7:T7"/>
    <mergeCell ref="U7:V7"/>
    <mergeCell ref="AW7:AY7"/>
    <mergeCell ref="X5:Y5"/>
    <mergeCell ref="AA5:AB5"/>
    <mergeCell ref="AC5:AD5"/>
    <mergeCell ref="AF5:AF6"/>
    <mergeCell ref="AG5:AG6"/>
    <mergeCell ref="AH5:AH6"/>
    <mergeCell ref="W5:W6"/>
    <mergeCell ref="F5:F6"/>
    <mergeCell ref="G5:G6"/>
    <mergeCell ref="H5:I5"/>
    <mergeCell ref="J5:K5"/>
    <mergeCell ref="L5:L6"/>
    <mergeCell ref="M5:M6"/>
    <mergeCell ref="N5:P5"/>
    <mergeCell ref="Q5:Q6"/>
    <mergeCell ref="R5:R6"/>
    <mergeCell ref="S5:T5"/>
    <mergeCell ref="U5:V5"/>
    <mergeCell ref="A1:I1"/>
    <mergeCell ref="AF1:AH1"/>
    <mergeCell ref="A2:I2"/>
    <mergeCell ref="C3:I3"/>
    <mergeCell ref="A4:AI4"/>
    <mergeCell ref="A5:A6"/>
    <mergeCell ref="B5:B6"/>
    <mergeCell ref="C5:C6"/>
    <mergeCell ref="D5:D6"/>
    <mergeCell ref="E5: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77"/>
  <sheetViews>
    <sheetView topLeftCell="AD1" workbookViewId="0">
      <selection activeCell="K13" sqref="K13"/>
    </sheetView>
  </sheetViews>
  <sheetFormatPr defaultColWidth="8.109375" defaultRowHeight="18.75" x14ac:dyDescent="0.3"/>
  <cols>
    <col min="1" max="1" width="2.88671875" style="387" customWidth="1"/>
    <col min="2" max="2" width="17.33203125" style="49" customWidth="1"/>
    <col min="3" max="3" width="6.88671875" style="63" customWidth="1"/>
    <col min="4" max="4" width="5.5546875" style="64" customWidth="1"/>
    <col min="5" max="5" width="7.21875" style="64" customWidth="1"/>
    <col min="6" max="6" width="6.33203125" style="49" customWidth="1"/>
    <col min="7" max="7" width="4.44140625" style="49" customWidth="1"/>
    <col min="8" max="8" width="3.77734375" style="49" customWidth="1"/>
    <col min="9" max="9" width="5.5546875" style="49" customWidth="1"/>
    <col min="10" max="10" width="4.109375" style="387" customWidth="1"/>
    <col min="11" max="11" width="7.6640625" style="49" customWidth="1"/>
    <col min="12" max="12" width="6.44140625" style="387" customWidth="1"/>
    <col min="13" max="13" width="9.33203125" style="49" customWidth="1"/>
    <col min="14" max="14" width="3.88671875" style="49" customWidth="1"/>
    <col min="15" max="15" width="6.33203125" style="49" customWidth="1"/>
    <col min="16" max="16" width="7.88671875" style="49" customWidth="1"/>
    <col min="17" max="17" width="4.6640625" style="50" customWidth="1"/>
    <col min="18" max="18" width="7.88671875" style="49" customWidth="1"/>
    <col min="19" max="19" width="4" style="49" customWidth="1"/>
    <col min="20" max="20" width="7.44140625" style="49" customWidth="1"/>
    <col min="21" max="21" width="4.109375" style="49" customWidth="1"/>
    <col min="22" max="22" width="5.6640625" style="50" customWidth="1"/>
    <col min="23" max="23" width="6.33203125" style="50" customWidth="1"/>
    <col min="24" max="24" width="7.5546875" style="49" customWidth="1"/>
    <col min="25" max="25" width="7.33203125" style="49" customWidth="1"/>
    <col min="26" max="26" width="6.44140625" style="49" customWidth="1"/>
    <col min="27" max="27" width="9.77734375" style="49" customWidth="1"/>
    <col min="28" max="28" width="6.5546875" style="49" customWidth="1"/>
    <col min="29" max="29" width="10.33203125" style="49" customWidth="1"/>
    <col min="30" max="30" width="7.77734375" style="49" customWidth="1"/>
    <col min="31" max="31" width="8.88671875" style="49" customWidth="1"/>
    <col min="32" max="32" width="4.88671875" style="49" customWidth="1"/>
    <col min="33" max="33" width="4.21875" style="49" customWidth="1"/>
    <col min="34" max="34" width="9.88671875" style="49" customWidth="1"/>
    <col min="35" max="35" width="10.88671875" style="49" customWidth="1"/>
    <col min="36" max="36" width="10.44140625" style="49" customWidth="1"/>
    <col min="37" max="38" width="10.21875" style="49" customWidth="1"/>
    <col min="39" max="39" width="21.21875" style="127" customWidth="1"/>
    <col min="40" max="40" width="10.6640625" style="49" customWidth="1"/>
    <col min="41" max="41" width="16.21875" style="49" bestFit="1" customWidth="1"/>
    <col min="42" max="42" width="13.44140625" style="49" customWidth="1"/>
    <col min="43" max="44" width="13.5546875" style="49" customWidth="1"/>
    <col min="45" max="45" width="14.6640625" style="49" customWidth="1"/>
    <col min="46" max="47" width="13.88671875" style="49" customWidth="1"/>
    <col min="48" max="49" width="12.5546875" style="49" bestFit="1" customWidth="1"/>
    <col min="50" max="50" width="14.88671875" style="49" bestFit="1" customWidth="1"/>
    <col min="51" max="51" width="14" style="49" customWidth="1"/>
    <col min="52" max="52" width="7.109375" style="49" customWidth="1"/>
    <col min="53" max="54" width="14.44140625" style="49" customWidth="1"/>
    <col min="55" max="55" width="12.5546875" style="49" bestFit="1" customWidth="1"/>
    <col min="56" max="56" width="8.21875" style="49" bestFit="1" customWidth="1"/>
    <col min="57" max="57" width="14.88671875" style="49" customWidth="1"/>
    <col min="58" max="16384" width="8.109375" style="49"/>
  </cols>
  <sheetData>
    <row r="1" spans="1:57" s="58" customFormat="1" x14ac:dyDescent="0.3">
      <c r="A1" s="692" t="s">
        <v>28</v>
      </c>
      <c r="B1" s="692"/>
      <c r="C1" s="692"/>
      <c r="D1" s="692"/>
      <c r="E1" s="692"/>
      <c r="F1" s="692"/>
      <c r="G1" s="692"/>
      <c r="H1" s="692"/>
      <c r="I1" s="692"/>
      <c r="J1" s="387"/>
      <c r="K1" s="49"/>
      <c r="L1" s="387"/>
      <c r="M1" s="49"/>
      <c r="N1" s="49"/>
      <c r="O1" s="49"/>
      <c r="P1" s="49"/>
      <c r="Q1" s="50"/>
      <c r="R1" s="49"/>
      <c r="S1" s="49"/>
      <c r="T1" s="49"/>
      <c r="U1" s="49"/>
      <c r="V1" s="50"/>
      <c r="W1" s="50"/>
      <c r="X1" s="49"/>
      <c r="Y1" s="49"/>
      <c r="Z1" s="49"/>
      <c r="AA1" s="49"/>
      <c r="AB1" s="49"/>
      <c r="AC1" s="49"/>
      <c r="AD1" s="49"/>
      <c r="AE1" s="49"/>
      <c r="AF1" s="660" t="s">
        <v>29</v>
      </c>
      <c r="AG1" s="660"/>
      <c r="AH1" s="660"/>
      <c r="AI1" s="49"/>
      <c r="AJ1" s="49"/>
      <c r="AK1" s="49"/>
      <c r="AL1" s="49"/>
      <c r="AM1" s="51"/>
      <c r="AN1" s="52"/>
      <c r="AO1" s="53"/>
      <c r="AP1" s="54"/>
      <c r="AQ1" s="54"/>
      <c r="AR1" s="54"/>
      <c r="AS1" s="55"/>
      <c r="AT1" s="51"/>
      <c r="AU1" s="51"/>
      <c r="AV1" s="56"/>
      <c r="AW1" s="57"/>
      <c r="AX1" s="57"/>
    </row>
    <row r="2" spans="1:57" s="58" customFormat="1" x14ac:dyDescent="0.3">
      <c r="A2" s="710" t="s">
        <v>30</v>
      </c>
      <c r="B2" s="710"/>
      <c r="C2" s="710"/>
      <c r="D2" s="710"/>
      <c r="E2" s="710"/>
      <c r="F2" s="710"/>
      <c r="G2" s="710"/>
      <c r="H2" s="710"/>
      <c r="I2" s="710"/>
      <c r="J2" s="387"/>
      <c r="K2" s="49"/>
      <c r="L2" s="387"/>
      <c r="M2" s="49"/>
      <c r="N2" s="49"/>
      <c r="O2" s="49"/>
      <c r="P2" s="49"/>
      <c r="Q2" s="50"/>
      <c r="R2" s="49"/>
      <c r="S2" s="49"/>
      <c r="T2" s="49"/>
      <c r="U2" s="49"/>
      <c r="V2" s="50"/>
      <c r="W2" s="50"/>
      <c r="X2" s="49"/>
      <c r="Y2" s="49"/>
      <c r="Z2" s="49"/>
      <c r="AA2" s="49"/>
      <c r="AB2" s="49"/>
      <c r="AC2" s="49"/>
      <c r="AD2" s="49"/>
      <c r="AE2" s="49"/>
      <c r="AF2" s="49"/>
      <c r="AG2" s="49"/>
      <c r="AH2" s="49"/>
      <c r="AI2" s="49"/>
      <c r="AJ2" s="49"/>
      <c r="AK2" s="49"/>
      <c r="AL2" s="49"/>
      <c r="AM2" s="51"/>
      <c r="AN2" s="59"/>
      <c r="AO2" s="59"/>
      <c r="AP2" s="60"/>
      <c r="AQ2" s="60"/>
      <c r="AR2" s="60"/>
      <c r="AS2" s="61"/>
      <c r="AT2" s="51"/>
      <c r="AU2" s="51"/>
      <c r="AV2" s="62"/>
      <c r="AW2" s="57"/>
      <c r="AX2" s="57"/>
    </row>
    <row r="3" spans="1:57" s="58" customFormat="1" x14ac:dyDescent="0.3">
      <c r="A3" s="387"/>
      <c r="B3" s="49"/>
      <c r="C3" s="63"/>
      <c r="D3" s="64"/>
      <c r="E3" s="64"/>
      <c r="F3" s="65"/>
      <c r="G3" s="65"/>
      <c r="H3" s="49"/>
      <c r="I3" s="49"/>
      <c r="J3" s="387"/>
      <c r="K3" s="49"/>
      <c r="L3" s="387"/>
      <c r="M3" s="49"/>
      <c r="N3" s="49"/>
      <c r="O3" s="49"/>
      <c r="P3" s="49"/>
      <c r="Q3" s="50"/>
      <c r="R3" s="49"/>
      <c r="S3" s="49"/>
      <c r="T3" s="49"/>
      <c r="U3" s="49"/>
      <c r="V3" s="50"/>
      <c r="W3" s="50"/>
      <c r="X3" s="49"/>
      <c r="Y3" s="49"/>
      <c r="Z3" s="49"/>
      <c r="AA3" s="49"/>
      <c r="AB3" s="49"/>
      <c r="AC3" s="49"/>
      <c r="AD3" s="49"/>
      <c r="AE3" s="49"/>
      <c r="AF3" s="49"/>
      <c r="AG3" s="49"/>
      <c r="AH3" s="49"/>
      <c r="AI3" s="49"/>
      <c r="AJ3" s="49"/>
      <c r="AK3" s="49"/>
      <c r="AL3" s="49"/>
      <c r="AM3" s="51"/>
      <c r="AN3" s="53"/>
      <c r="AO3" s="53"/>
      <c r="AP3" s="54"/>
      <c r="AQ3" s="54"/>
      <c r="AR3" s="54"/>
      <c r="AS3" s="55"/>
      <c r="AT3" s="51"/>
      <c r="AU3" s="51"/>
      <c r="AV3" s="56"/>
      <c r="AW3" s="57"/>
      <c r="AX3" s="57"/>
    </row>
    <row r="4" spans="1:57" s="58" customFormat="1" ht="37.15" customHeight="1" x14ac:dyDescent="0.3">
      <c r="A4" s="711" t="s">
        <v>366</v>
      </c>
      <c r="B4" s="711"/>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516"/>
      <c r="AK4" s="516"/>
      <c r="AL4" s="516"/>
      <c r="AM4" s="51"/>
      <c r="AN4" s="59"/>
      <c r="AO4" s="59"/>
      <c r="AP4" s="66"/>
      <c r="AQ4" s="66"/>
      <c r="AR4" s="66"/>
      <c r="AS4" s="67"/>
      <c r="AT4" s="68"/>
      <c r="AU4" s="68"/>
      <c r="AV4" s="69"/>
      <c r="AW4" s="57"/>
      <c r="AX4" s="57"/>
    </row>
    <row r="5" spans="1:57" s="58" customFormat="1" ht="24.75" customHeight="1" x14ac:dyDescent="0.3">
      <c r="A5" s="712" t="s">
        <v>0</v>
      </c>
      <c r="B5" s="714" t="s">
        <v>31</v>
      </c>
      <c r="C5" s="714" t="s">
        <v>32</v>
      </c>
      <c r="D5" s="719" t="s">
        <v>192</v>
      </c>
      <c r="E5" s="719" t="s">
        <v>191</v>
      </c>
      <c r="F5" s="715" t="s">
        <v>33</v>
      </c>
      <c r="G5" s="717" t="s">
        <v>34</v>
      </c>
      <c r="H5" s="698" t="s">
        <v>35</v>
      </c>
      <c r="I5" s="698"/>
      <c r="J5" s="698" t="s">
        <v>35</v>
      </c>
      <c r="K5" s="698"/>
      <c r="L5" s="680" t="s">
        <v>36</v>
      </c>
      <c r="M5" s="680" t="s">
        <v>37</v>
      </c>
      <c r="N5" s="769" t="s">
        <v>38</v>
      </c>
      <c r="O5" s="770"/>
      <c r="P5" s="771"/>
      <c r="Q5" s="714" t="s">
        <v>39</v>
      </c>
      <c r="R5" s="698" t="s">
        <v>73</v>
      </c>
      <c r="S5" s="698" t="s">
        <v>74</v>
      </c>
      <c r="T5" s="698"/>
      <c r="U5" s="698" t="s">
        <v>75</v>
      </c>
      <c r="V5" s="698"/>
      <c r="W5" s="680" t="s">
        <v>217</v>
      </c>
      <c r="X5" s="776" t="s">
        <v>40</v>
      </c>
      <c r="Y5" s="776"/>
      <c r="Z5" s="508" t="s">
        <v>68</v>
      </c>
      <c r="AA5" s="776" t="s">
        <v>41</v>
      </c>
      <c r="AB5" s="776"/>
      <c r="AC5" s="776" t="s">
        <v>42</v>
      </c>
      <c r="AD5" s="776"/>
      <c r="AE5" s="517" t="s">
        <v>43</v>
      </c>
      <c r="AF5" s="714" t="s">
        <v>44</v>
      </c>
      <c r="AG5" s="680" t="s">
        <v>45</v>
      </c>
      <c r="AH5" s="714" t="s">
        <v>46</v>
      </c>
      <c r="AI5" s="714" t="s">
        <v>47</v>
      </c>
      <c r="AJ5" s="71"/>
      <c r="AK5" s="72"/>
      <c r="AL5" s="72"/>
      <c r="AM5" s="703"/>
      <c r="AN5" s="73"/>
      <c r="AO5" s="704" t="s">
        <v>181</v>
      </c>
      <c r="AP5" s="704"/>
      <c r="AQ5" s="704"/>
      <c r="AR5" s="704"/>
      <c r="AS5" s="704"/>
      <c r="AT5" s="392">
        <f>AT17-AS17</f>
        <v>783096188</v>
      </c>
      <c r="AU5" s="392"/>
      <c r="AV5" s="73"/>
      <c r="AW5" s="705"/>
      <c r="AX5" s="705"/>
      <c r="AY5" s="705"/>
      <c r="AZ5" s="514"/>
      <c r="BA5" s="73"/>
      <c r="BB5" s="73"/>
      <c r="BC5" s="73"/>
      <c r="BD5" s="73"/>
    </row>
    <row r="6" spans="1:57" s="58" customFormat="1" ht="60.75" thickBot="1" x14ac:dyDescent="0.35">
      <c r="A6" s="713"/>
      <c r="B6" s="713"/>
      <c r="C6" s="713"/>
      <c r="D6" s="720"/>
      <c r="E6" s="720"/>
      <c r="F6" s="716"/>
      <c r="G6" s="718"/>
      <c r="H6" s="504" t="s">
        <v>48</v>
      </c>
      <c r="I6" s="507" t="s">
        <v>49</v>
      </c>
      <c r="J6" s="504" t="s">
        <v>48</v>
      </c>
      <c r="K6" s="507" t="s">
        <v>50</v>
      </c>
      <c r="L6" s="696"/>
      <c r="M6" s="696"/>
      <c r="N6" s="507" t="s">
        <v>48</v>
      </c>
      <c r="O6" s="74" t="s">
        <v>51</v>
      </c>
      <c r="P6" s="75" t="s">
        <v>52</v>
      </c>
      <c r="Q6" s="713"/>
      <c r="R6" s="698"/>
      <c r="S6" s="398" t="s">
        <v>35</v>
      </c>
      <c r="T6" s="398" t="s">
        <v>76</v>
      </c>
      <c r="U6" s="398" t="s">
        <v>35</v>
      </c>
      <c r="V6" s="398" t="s">
        <v>76</v>
      </c>
      <c r="W6" s="697"/>
      <c r="X6" s="506" t="s">
        <v>69</v>
      </c>
      <c r="Y6" s="506" t="s">
        <v>53</v>
      </c>
      <c r="Z6" s="506" t="s">
        <v>70</v>
      </c>
      <c r="AA6" s="506" t="s">
        <v>54</v>
      </c>
      <c r="AB6" s="506" t="s">
        <v>55</v>
      </c>
      <c r="AC6" s="506" t="s">
        <v>56</v>
      </c>
      <c r="AD6" s="506" t="s">
        <v>57</v>
      </c>
      <c r="AE6" s="506" t="s">
        <v>58</v>
      </c>
      <c r="AF6" s="713"/>
      <c r="AG6" s="697"/>
      <c r="AH6" s="713"/>
      <c r="AI6" s="713"/>
      <c r="AJ6" s="76"/>
      <c r="AK6" s="77"/>
      <c r="AL6" s="77"/>
      <c r="AM6" s="703"/>
      <c r="AN6" s="78"/>
      <c r="AO6" s="79" t="s">
        <v>312</v>
      </c>
      <c r="AP6" s="78"/>
      <c r="AQ6" s="80">
        <f>AO17-AH8</f>
        <v>0</v>
      </c>
      <c r="AR6" s="80"/>
      <c r="AS6" s="78"/>
      <c r="AT6" s="78"/>
      <c r="AU6" s="78"/>
      <c r="AV6" s="78"/>
      <c r="AW6" s="78"/>
      <c r="AX6" s="78"/>
      <c r="AY6" s="78" t="s">
        <v>253</v>
      </c>
      <c r="AZ6" s="78"/>
      <c r="BA6" s="78"/>
      <c r="BB6" s="78"/>
      <c r="BC6" s="78"/>
      <c r="BD6" s="78"/>
    </row>
    <row r="7" spans="1:57" s="58" customFormat="1" ht="16.5" thickTop="1" thickBot="1" x14ac:dyDescent="0.3">
      <c r="A7" s="399" t="s">
        <v>1</v>
      </c>
      <c r="B7" s="399" t="s">
        <v>2</v>
      </c>
      <c r="C7" s="399" t="s">
        <v>59</v>
      </c>
      <c r="D7" s="400">
        <v>1</v>
      </c>
      <c r="E7" s="400">
        <v>2</v>
      </c>
      <c r="F7" s="400">
        <v>3</v>
      </c>
      <c r="G7" s="400">
        <v>4</v>
      </c>
      <c r="H7" s="772">
        <v>5</v>
      </c>
      <c r="I7" s="773"/>
      <c r="J7" s="772">
        <v>6</v>
      </c>
      <c r="K7" s="773"/>
      <c r="L7" s="399">
        <v>7</v>
      </c>
      <c r="M7" s="399">
        <v>8</v>
      </c>
      <c r="N7" s="772">
        <v>9</v>
      </c>
      <c r="O7" s="773"/>
      <c r="P7" s="401">
        <v>10</v>
      </c>
      <c r="Q7" s="399">
        <v>11</v>
      </c>
      <c r="R7" s="401">
        <v>12</v>
      </c>
      <c r="S7" s="774">
        <v>13</v>
      </c>
      <c r="T7" s="775"/>
      <c r="U7" s="772">
        <v>14</v>
      </c>
      <c r="V7" s="773"/>
      <c r="W7" s="519">
        <v>15</v>
      </c>
      <c r="X7" s="519">
        <v>16</v>
      </c>
      <c r="Y7" s="519">
        <v>17</v>
      </c>
      <c r="Z7" s="519">
        <v>18</v>
      </c>
      <c r="AA7" s="519">
        <v>19</v>
      </c>
      <c r="AB7" s="519">
        <v>20</v>
      </c>
      <c r="AC7" s="519">
        <v>21</v>
      </c>
      <c r="AD7" s="519">
        <v>22</v>
      </c>
      <c r="AE7" s="519">
        <v>23</v>
      </c>
      <c r="AF7" s="519">
        <v>24</v>
      </c>
      <c r="AG7" s="519">
        <v>25</v>
      </c>
      <c r="AH7" s="519">
        <v>26</v>
      </c>
      <c r="AI7" s="399" t="s">
        <v>60</v>
      </c>
      <c r="AJ7" s="396"/>
      <c r="AK7" s="340" t="e">
        <f>AJ8-#REF!</f>
        <v>#REF!</v>
      </c>
      <c r="AL7" s="396"/>
      <c r="AM7" s="350">
        <f>AL7-AL8</f>
        <v>0</v>
      </c>
      <c r="AN7" s="85"/>
      <c r="AO7" s="85" t="s">
        <v>252</v>
      </c>
      <c r="AP7" s="85" t="s">
        <v>313</v>
      </c>
      <c r="AQ7" s="85" t="s">
        <v>314</v>
      </c>
      <c r="AR7" s="85" t="s">
        <v>317</v>
      </c>
      <c r="AS7" s="85" t="s">
        <v>360</v>
      </c>
      <c r="AT7" s="86" t="s">
        <v>315</v>
      </c>
      <c r="AU7" s="393"/>
      <c r="AV7" s="78"/>
      <c r="AW7" s="706" t="s">
        <v>182</v>
      </c>
      <c r="AX7" s="707"/>
      <c r="AY7" s="707"/>
      <c r="AZ7" s="87"/>
      <c r="BA7" s="88"/>
      <c r="BB7" s="88"/>
      <c r="BC7" s="78"/>
      <c r="BD7" s="78"/>
    </row>
    <row r="8" spans="1:57" ht="31.5" customHeight="1" thickBot="1" x14ac:dyDescent="0.35">
      <c r="A8" s="518" t="s">
        <v>61</v>
      </c>
      <c r="B8" s="89" t="s">
        <v>62</v>
      </c>
      <c r="C8" s="402"/>
      <c r="D8" s="403"/>
      <c r="E8" s="404"/>
      <c r="F8" s="405">
        <f>SUM(F9:F57)</f>
        <v>191.16000000000003</v>
      </c>
      <c r="G8" s="405">
        <f>SUM(G9:G57)</f>
        <v>3.4</v>
      </c>
      <c r="H8" s="405">
        <f>SUM(H9:H57)</f>
        <v>0</v>
      </c>
      <c r="I8" s="406">
        <f>SUM(I9:I57)</f>
        <v>0.50180000000000002</v>
      </c>
      <c r="J8" s="518"/>
      <c r="K8" s="406">
        <f>SUM(K9:K57)</f>
        <v>36.193499999999993</v>
      </c>
      <c r="L8" s="406">
        <f>SUM(L9:L57)</f>
        <v>231.25529999999998</v>
      </c>
      <c r="M8" s="407">
        <f>SUM(M9:M57)</f>
        <v>541137402</v>
      </c>
      <c r="N8" s="408"/>
      <c r="O8" s="409">
        <f t="shared" ref="O8:T8" si="0">SUM(O9:O57)</f>
        <v>93.082899999999981</v>
      </c>
      <c r="P8" s="410">
        <f t="shared" si="0"/>
        <v>217813986</v>
      </c>
      <c r="Q8" s="410">
        <f t="shared" si="0"/>
        <v>0</v>
      </c>
      <c r="R8" s="410">
        <f t="shared" si="0"/>
        <v>56160000</v>
      </c>
      <c r="S8" s="411">
        <f t="shared" si="0"/>
        <v>0.5</v>
      </c>
      <c r="T8" s="410">
        <f t="shared" si="0"/>
        <v>1170000</v>
      </c>
      <c r="U8" s="405">
        <f>SUM(U9:U55)</f>
        <v>0.4</v>
      </c>
      <c r="V8" s="410">
        <f t="shared" ref="V8:AG8" si="1">SUM(V9:V57)</f>
        <v>936000</v>
      </c>
      <c r="W8" s="410">
        <f t="shared" si="1"/>
        <v>468000</v>
      </c>
      <c r="X8" s="410">
        <f>SUM(X9:X57)</f>
        <v>91993357</v>
      </c>
      <c r="Y8" s="410">
        <f t="shared" si="1"/>
        <v>43290994</v>
      </c>
      <c r="Z8" s="410">
        <f t="shared" si="1"/>
        <v>2705687</v>
      </c>
      <c r="AA8" s="410">
        <f t="shared" si="1"/>
        <v>16234123</v>
      </c>
      <c r="AB8" s="410">
        <f t="shared" si="1"/>
        <v>8117062</v>
      </c>
      <c r="AC8" s="410">
        <f t="shared" si="1"/>
        <v>5411378</v>
      </c>
      <c r="AD8" s="410">
        <f t="shared" si="1"/>
        <v>5411378</v>
      </c>
      <c r="AE8" s="410">
        <f t="shared" si="1"/>
        <v>10822745</v>
      </c>
      <c r="AF8" s="410">
        <f t="shared" si="1"/>
        <v>0</v>
      </c>
      <c r="AG8" s="410">
        <f t="shared" si="1"/>
        <v>0</v>
      </c>
      <c r="AH8" s="410">
        <f>SUM(AH9:AH57)</f>
        <v>760865954</v>
      </c>
      <c r="AI8" s="410"/>
      <c r="AJ8" s="410">
        <f t="shared" ref="AJ8" si="2">SUM(AJ9:AJ57)</f>
        <v>69927617</v>
      </c>
      <c r="AK8" s="410"/>
      <c r="AL8" s="410"/>
      <c r="AM8" s="96" t="s">
        <v>176</v>
      </c>
      <c r="AN8" s="97">
        <v>6001</v>
      </c>
      <c r="AO8" s="98">
        <f>ROUND(((F8)*2340000)*89.5%,0)-2</f>
        <v>400346386</v>
      </c>
      <c r="AP8" s="98"/>
      <c r="AQ8" s="98"/>
      <c r="AR8" s="98"/>
      <c r="AS8" s="98"/>
      <c r="AT8" s="99">
        <f>AS8+AR8+AQ8+AP8+AO8</f>
        <v>400346386</v>
      </c>
      <c r="AU8" s="99">
        <f>AR8+AQ8+AP8+AO8</f>
        <v>400346386</v>
      </c>
      <c r="AV8" s="100">
        <v>6001</v>
      </c>
      <c r="AW8" s="101" t="s">
        <v>183</v>
      </c>
      <c r="AX8" s="98">
        <f>ROUND((F8)*2340000,0)</f>
        <v>447314400</v>
      </c>
      <c r="AY8" s="101"/>
      <c r="AZ8" s="102"/>
      <c r="BA8" s="103"/>
      <c r="BB8" s="104"/>
      <c r="BC8" s="105"/>
      <c r="BD8" s="106"/>
      <c r="BE8" s="107"/>
    </row>
    <row r="9" spans="1:57" ht="20.25" customHeight="1" thickBot="1" x14ac:dyDescent="0.35">
      <c r="A9" s="412" t="s">
        <v>137</v>
      </c>
      <c r="B9" s="413" t="s">
        <v>350</v>
      </c>
      <c r="C9" s="414" t="s">
        <v>123</v>
      </c>
      <c r="D9" s="415" t="s">
        <v>352</v>
      </c>
      <c r="E9" s="416">
        <v>45352</v>
      </c>
      <c r="F9" s="417">
        <v>4.9800000000000004</v>
      </c>
      <c r="G9" s="417">
        <v>0.5</v>
      </c>
      <c r="H9" s="418" t="s">
        <v>351</v>
      </c>
      <c r="I9" s="419">
        <f>(F9*H9)</f>
        <v>0.29880000000000001</v>
      </c>
      <c r="J9" s="420">
        <v>21</v>
      </c>
      <c r="K9" s="421">
        <f>ROUND((F9+G9+I9)*J9/100,4)</f>
        <v>1.2135</v>
      </c>
      <c r="L9" s="421">
        <f>F9+G9+I9+K9</f>
        <v>6.9923000000000002</v>
      </c>
      <c r="M9" s="422">
        <f>ROUND(L9*2340000,0)</f>
        <v>16361982</v>
      </c>
      <c r="N9" s="423">
        <v>0.5</v>
      </c>
      <c r="O9" s="424">
        <f>(F9+G9+I9)*N9</f>
        <v>2.8894000000000002</v>
      </c>
      <c r="P9" s="422">
        <f>ROUND(O9*2340000,0)</f>
        <v>6761196</v>
      </c>
      <c r="Q9" s="425"/>
      <c r="R9" s="422">
        <f>ROUND(0.5*2340000,0)</f>
        <v>1170000</v>
      </c>
      <c r="S9" s="426"/>
      <c r="T9" s="422">
        <f>S9*2340000</f>
        <v>0</v>
      </c>
      <c r="U9" s="426"/>
      <c r="V9" s="427">
        <f>U9*2340000</f>
        <v>0</v>
      </c>
      <c r="W9" s="427"/>
      <c r="X9" s="422">
        <f>ROUND((L9*2340000*17/100),0)</f>
        <v>2781537</v>
      </c>
      <c r="Y9" s="422">
        <f>ROUND((L9*2340000*8/100),0)</f>
        <v>1308959</v>
      </c>
      <c r="Z9" s="422">
        <f>ROUND((L9*2340000*0.5/100),0)</f>
        <v>81810</v>
      </c>
      <c r="AA9" s="422">
        <f>ROUND((L9*2340000*3/100),0)</f>
        <v>490859</v>
      </c>
      <c r="AB9" s="422">
        <f>ROUND((L9*2340000*1.5/100),0)</f>
        <v>245430</v>
      </c>
      <c r="AC9" s="422">
        <f>ROUND((L9*2340000*1/100),0)</f>
        <v>163620</v>
      </c>
      <c r="AD9" s="422">
        <f>ROUND((L9*2340000*1/100),0)</f>
        <v>163620</v>
      </c>
      <c r="AE9" s="422">
        <f>ROUND((L9*2340000*2/100),0)</f>
        <v>327240</v>
      </c>
      <c r="AF9" s="413"/>
      <c r="AG9" s="422"/>
      <c r="AH9" s="422">
        <f t="shared" ref="AH9:AH57" si="3">M9-Y9-AB9-AD9+P9+R9+T9+V9+W9</f>
        <v>22575169</v>
      </c>
      <c r="AI9" s="422"/>
      <c r="AJ9" s="422"/>
      <c r="AK9" s="422"/>
      <c r="AL9" s="121"/>
      <c r="AM9" s="96"/>
      <c r="AN9" s="97">
        <v>6051</v>
      </c>
      <c r="AO9" s="98">
        <v>0</v>
      </c>
      <c r="AP9" s="98">
        <f>ROUND((F58*2340000)*89.5%,0)</f>
        <v>17550234</v>
      </c>
      <c r="AQ9" s="324">
        <f>R58</f>
        <v>4680000</v>
      </c>
      <c r="AR9" s="324"/>
      <c r="AS9" s="324"/>
      <c r="AT9" s="99">
        <f t="shared" ref="AT9:AT16" si="4">AS9+AR9+AQ9+AP9+AO9</f>
        <v>22230234</v>
      </c>
      <c r="AU9" s="99">
        <f t="shared" ref="AU9:AU16" si="5">AR9+AQ9+AP9+AO9</f>
        <v>22230234</v>
      </c>
      <c r="AV9" s="100">
        <v>6051</v>
      </c>
      <c r="AW9" s="101" t="s">
        <v>184</v>
      </c>
      <c r="AX9" s="98">
        <f>F58*2340000</f>
        <v>19609200</v>
      </c>
      <c r="AY9" s="101"/>
      <c r="AZ9" s="102"/>
      <c r="BA9" s="102"/>
      <c r="BB9" s="102"/>
      <c r="BC9" s="105"/>
      <c r="BD9" s="106"/>
      <c r="BE9" s="122"/>
    </row>
    <row r="10" spans="1:57" ht="20.25" customHeight="1" thickBot="1" x14ac:dyDescent="0.35">
      <c r="A10" s="412" t="s">
        <v>138</v>
      </c>
      <c r="B10" s="413" t="s">
        <v>89</v>
      </c>
      <c r="C10" s="414" t="s">
        <v>346</v>
      </c>
      <c r="D10" s="428" t="s">
        <v>193</v>
      </c>
      <c r="E10" s="429" t="s">
        <v>322</v>
      </c>
      <c r="F10" s="430">
        <v>3.99</v>
      </c>
      <c r="G10" s="430">
        <v>0.4</v>
      </c>
      <c r="H10" s="431"/>
      <c r="I10" s="414"/>
      <c r="J10" s="432">
        <v>20</v>
      </c>
      <c r="K10" s="421">
        <f t="shared" ref="K10:K14" si="6">ROUND((F10+G10+I10)*J10/100,4)</f>
        <v>0.878</v>
      </c>
      <c r="L10" s="421">
        <f t="shared" ref="L10:L57" si="7">F10+G10+I10+K10</f>
        <v>5.2680000000000007</v>
      </c>
      <c r="M10" s="422">
        <f t="shared" ref="M10:M62" si="8">ROUND(L10*2340000,0)</f>
        <v>12327120</v>
      </c>
      <c r="N10" s="423">
        <v>0.5</v>
      </c>
      <c r="O10" s="424">
        <f t="shared" ref="O10:O57" si="9">(F10+G10+I10)*N10</f>
        <v>2.1950000000000003</v>
      </c>
      <c r="P10" s="422">
        <f t="shared" ref="P10:P62" si="10">ROUND(O10*2340000,0)</f>
        <v>5136300</v>
      </c>
      <c r="Q10" s="425"/>
      <c r="R10" s="422">
        <f t="shared" ref="R10:R62" si="11">ROUND(0.5*2340000,0)</f>
        <v>1170000</v>
      </c>
      <c r="S10" s="426"/>
      <c r="T10" s="422">
        <f t="shared" ref="T10:T57" si="12">S10*2340000</f>
        <v>0</v>
      </c>
      <c r="U10" s="426"/>
      <c r="V10" s="427">
        <f t="shared" ref="V10:V57" si="13">U10*2340000</f>
        <v>0</v>
      </c>
      <c r="W10" s="427"/>
      <c r="X10" s="422">
        <f t="shared" ref="X10:X57" si="14">ROUND((L10*2340000*17/100),0)</f>
        <v>2095610</v>
      </c>
      <c r="Y10" s="422">
        <f t="shared" ref="Y10:Y57" si="15">ROUND((L10*2340000*8/100),0)</f>
        <v>986170</v>
      </c>
      <c r="Z10" s="422">
        <f t="shared" ref="Z10:Z57" si="16">ROUND((L10*2340000*0.5/100),0)</f>
        <v>61636</v>
      </c>
      <c r="AA10" s="422">
        <f t="shared" ref="AA10:AA57" si="17">ROUND((L10*2340000*3/100),0)</f>
        <v>369814</v>
      </c>
      <c r="AB10" s="422">
        <f t="shared" ref="AB10:AB57" si="18">ROUND((L10*2340000*1.5/100),0)</f>
        <v>184907</v>
      </c>
      <c r="AC10" s="422">
        <f t="shared" ref="AC10:AC57" si="19">ROUND((L10*2340000*1/100),0)</f>
        <v>123271</v>
      </c>
      <c r="AD10" s="422">
        <f t="shared" ref="AD10:AD57" si="20">ROUND((L10*2340000*1/100),0)</f>
        <v>123271</v>
      </c>
      <c r="AE10" s="422">
        <f t="shared" ref="AE10:AE57" si="21">ROUND((L10*2340000*2/100),0)</f>
        <v>246542</v>
      </c>
      <c r="AF10" s="413"/>
      <c r="AG10" s="422"/>
      <c r="AH10" s="422">
        <f t="shared" si="3"/>
        <v>17339072</v>
      </c>
      <c r="AI10" s="413"/>
      <c r="AJ10" s="335">
        <v>424496</v>
      </c>
      <c r="AK10" s="334" t="s">
        <v>89</v>
      </c>
      <c r="AL10" s="121"/>
      <c r="AM10" s="127" t="s">
        <v>177</v>
      </c>
      <c r="AN10" s="97">
        <v>6101</v>
      </c>
      <c r="AO10" s="98">
        <f>ROUND((G8*2340000)*89.5%,0)-3</f>
        <v>7120617</v>
      </c>
      <c r="AQ10" s="98"/>
      <c r="AR10" s="98"/>
      <c r="AS10" s="98"/>
      <c r="AT10" s="99">
        <f t="shared" si="4"/>
        <v>7120617</v>
      </c>
      <c r="AU10" s="99">
        <f t="shared" si="5"/>
        <v>7120617</v>
      </c>
      <c r="AV10" s="100">
        <v>6101</v>
      </c>
      <c r="AW10" s="101" t="s">
        <v>185</v>
      </c>
      <c r="AX10" s="98">
        <f>ROUND(G8*2340000,0)</f>
        <v>7956000</v>
      </c>
      <c r="AY10" s="128">
        <f>N59</f>
        <v>0</v>
      </c>
      <c r="AZ10" s="129"/>
      <c r="BA10" s="102"/>
      <c r="BB10" s="102"/>
      <c r="BC10" s="105"/>
      <c r="BD10" s="106"/>
      <c r="BE10" s="107"/>
    </row>
    <row r="11" spans="1:57" ht="20.25" customHeight="1" thickBot="1" x14ac:dyDescent="0.35">
      <c r="A11" s="412" t="s">
        <v>139</v>
      </c>
      <c r="B11" s="413" t="s">
        <v>24</v>
      </c>
      <c r="C11" s="414" t="s">
        <v>347</v>
      </c>
      <c r="D11" s="433" t="s">
        <v>193</v>
      </c>
      <c r="E11" s="434" t="s">
        <v>323</v>
      </c>
      <c r="F11" s="417">
        <v>4</v>
      </c>
      <c r="G11" s="417">
        <v>0.4</v>
      </c>
      <c r="H11" s="435"/>
      <c r="I11" s="414"/>
      <c r="J11" s="420">
        <v>20</v>
      </c>
      <c r="K11" s="421">
        <f t="shared" si="6"/>
        <v>0.88</v>
      </c>
      <c r="L11" s="421">
        <f t="shared" si="7"/>
        <v>5.28</v>
      </c>
      <c r="M11" s="422">
        <f t="shared" si="8"/>
        <v>12355200</v>
      </c>
      <c r="N11" s="423">
        <v>0.5</v>
      </c>
      <c r="O11" s="424">
        <f t="shared" si="9"/>
        <v>2.2000000000000002</v>
      </c>
      <c r="P11" s="422">
        <f t="shared" si="10"/>
        <v>5148000</v>
      </c>
      <c r="Q11" s="425"/>
      <c r="R11" s="422">
        <f t="shared" si="11"/>
        <v>1170000</v>
      </c>
      <c r="S11" s="426"/>
      <c r="T11" s="422">
        <f t="shared" si="12"/>
        <v>0</v>
      </c>
      <c r="U11" s="426"/>
      <c r="V11" s="427">
        <f t="shared" si="13"/>
        <v>0</v>
      </c>
      <c r="W11" s="427"/>
      <c r="X11" s="422">
        <f t="shared" si="14"/>
        <v>2100384</v>
      </c>
      <c r="Y11" s="422">
        <f t="shared" si="15"/>
        <v>988416</v>
      </c>
      <c r="Z11" s="422">
        <f t="shared" si="16"/>
        <v>61776</v>
      </c>
      <c r="AA11" s="422">
        <f t="shared" si="17"/>
        <v>370656</v>
      </c>
      <c r="AB11" s="422">
        <f t="shared" si="18"/>
        <v>185328</v>
      </c>
      <c r="AC11" s="422">
        <f t="shared" si="19"/>
        <v>123552</v>
      </c>
      <c r="AD11" s="422">
        <f t="shared" si="20"/>
        <v>123552</v>
      </c>
      <c r="AE11" s="422">
        <f t="shared" si="21"/>
        <v>247104</v>
      </c>
      <c r="AF11" s="413"/>
      <c r="AG11" s="422"/>
      <c r="AH11" s="422">
        <f t="shared" si="3"/>
        <v>17375904</v>
      </c>
      <c r="AI11" s="413"/>
      <c r="AJ11" s="335">
        <v>141499</v>
      </c>
      <c r="AK11" s="334" t="s">
        <v>24</v>
      </c>
      <c r="AL11" s="121"/>
      <c r="AM11" s="127" t="s">
        <v>256</v>
      </c>
      <c r="AN11" s="97">
        <v>6102</v>
      </c>
      <c r="AO11" s="98">
        <f>R8</f>
        <v>56160000</v>
      </c>
      <c r="AP11" s="98"/>
      <c r="AQ11" s="131"/>
      <c r="AR11" s="131"/>
      <c r="AS11" s="131"/>
      <c r="AT11" s="99">
        <f t="shared" si="4"/>
        <v>56160000</v>
      </c>
      <c r="AU11" s="99">
        <f t="shared" si="5"/>
        <v>56160000</v>
      </c>
      <c r="AV11" s="132">
        <v>6115</v>
      </c>
      <c r="AW11" s="101" t="s">
        <v>186</v>
      </c>
      <c r="AX11" s="98">
        <f>(I8+K8)*2340000</f>
        <v>85867001.999999985</v>
      </c>
      <c r="AY11" s="131"/>
      <c r="AZ11" s="133"/>
      <c r="BA11" s="102"/>
      <c r="BB11" s="102"/>
      <c r="BC11" s="105"/>
      <c r="BD11" s="106"/>
      <c r="BE11" s="134"/>
    </row>
    <row r="12" spans="1:57" ht="20.25" customHeight="1" thickBot="1" x14ac:dyDescent="0.35">
      <c r="A12" s="412" t="s">
        <v>140</v>
      </c>
      <c r="B12" s="413" t="s">
        <v>14</v>
      </c>
      <c r="C12" s="414" t="s">
        <v>90</v>
      </c>
      <c r="D12" s="433" t="s">
        <v>194</v>
      </c>
      <c r="E12" s="436" t="s">
        <v>324</v>
      </c>
      <c r="F12" s="417">
        <f>3.96+0.31</f>
        <v>4.2699999999999996</v>
      </c>
      <c r="G12" s="417"/>
      <c r="H12" s="435"/>
      <c r="I12" s="414"/>
      <c r="J12" s="437">
        <v>21</v>
      </c>
      <c r="K12" s="421">
        <f t="shared" si="6"/>
        <v>0.89670000000000005</v>
      </c>
      <c r="L12" s="421">
        <f t="shared" si="7"/>
        <v>5.1666999999999996</v>
      </c>
      <c r="M12" s="422">
        <f t="shared" si="8"/>
        <v>12090078</v>
      </c>
      <c r="N12" s="423">
        <v>0.5</v>
      </c>
      <c r="O12" s="424">
        <f t="shared" si="9"/>
        <v>2.1349999999999998</v>
      </c>
      <c r="P12" s="422">
        <f t="shared" si="10"/>
        <v>4995900</v>
      </c>
      <c r="Q12" s="425"/>
      <c r="R12" s="422">
        <f t="shared" si="11"/>
        <v>1170000</v>
      </c>
      <c r="S12" s="426"/>
      <c r="T12" s="422">
        <f t="shared" si="12"/>
        <v>0</v>
      </c>
      <c r="U12" s="426"/>
      <c r="V12" s="427">
        <f t="shared" si="13"/>
        <v>0</v>
      </c>
      <c r="W12" s="427"/>
      <c r="X12" s="422">
        <f t="shared" si="14"/>
        <v>2055313</v>
      </c>
      <c r="Y12" s="422">
        <f t="shared" si="15"/>
        <v>967206</v>
      </c>
      <c r="Z12" s="422">
        <f t="shared" si="16"/>
        <v>60450</v>
      </c>
      <c r="AA12" s="422">
        <f t="shared" si="17"/>
        <v>362702</v>
      </c>
      <c r="AB12" s="422">
        <f t="shared" si="18"/>
        <v>181351</v>
      </c>
      <c r="AC12" s="422">
        <f t="shared" si="19"/>
        <v>120901</v>
      </c>
      <c r="AD12" s="422">
        <f t="shared" si="20"/>
        <v>120901</v>
      </c>
      <c r="AE12" s="422">
        <f t="shared" si="21"/>
        <v>241802</v>
      </c>
      <c r="AF12" s="413"/>
      <c r="AG12" s="422"/>
      <c r="AH12" s="422">
        <f t="shared" si="3"/>
        <v>16986520</v>
      </c>
      <c r="AI12" s="413"/>
      <c r="AJ12" s="335"/>
      <c r="AK12" s="334"/>
      <c r="AL12" s="121"/>
      <c r="AM12" s="127" t="s">
        <v>178</v>
      </c>
      <c r="AN12" s="97">
        <v>6107</v>
      </c>
      <c r="AO12" s="98">
        <f>V8</f>
        <v>936000</v>
      </c>
      <c r="AP12" s="98"/>
      <c r="AQ12" s="131"/>
      <c r="AR12" s="131"/>
      <c r="AS12" s="131"/>
      <c r="AT12" s="99">
        <f t="shared" si="4"/>
        <v>936000</v>
      </c>
      <c r="AU12" s="99">
        <f t="shared" si="5"/>
        <v>936000</v>
      </c>
      <c r="AV12" s="100"/>
      <c r="AW12" s="101"/>
      <c r="AX12" s="98"/>
      <c r="AY12" s="131"/>
      <c r="AZ12" s="133"/>
      <c r="BA12" s="102"/>
      <c r="BB12" s="102"/>
      <c r="BC12" s="105"/>
      <c r="BD12" s="106"/>
    </row>
    <row r="13" spans="1:57" ht="20.25" customHeight="1" thickBot="1" x14ac:dyDescent="0.35">
      <c r="A13" s="412" t="s">
        <v>141</v>
      </c>
      <c r="B13" s="413" t="s">
        <v>15</v>
      </c>
      <c r="C13" s="414" t="s">
        <v>90</v>
      </c>
      <c r="D13" s="433" t="s">
        <v>193</v>
      </c>
      <c r="E13" s="436" t="s">
        <v>325</v>
      </c>
      <c r="F13" s="417">
        <v>3.96</v>
      </c>
      <c r="G13" s="417"/>
      <c r="H13" s="435"/>
      <c r="I13" s="414"/>
      <c r="J13" s="420">
        <v>16</v>
      </c>
      <c r="K13" s="421">
        <f t="shared" si="6"/>
        <v>0.63360000000000005</v>
      </c>
      <c r="L13" s="421">
        <f t="shared" si="7"/>
        <v>4.5936000000000003</v>
      </c>
      <c r="M13" s="422">
        <f t="shared" si="8"/>
        <v>10749024</v>
      </c>
      <c r="N13" s="423">
        <v>0.5</v>
      </c>
      <c r="O13" s="424">
        <f t="shared" si="9"/>
        <v>1.98</v>
      </c>
      <c r="P13" s="422">
        <f t="shared" si="10"/>
        <v>4633200</v>
      </c>
      <c r="Q13" s="425"/>
      <c r="R13" s="422">
        <f t="shared" si="11"/>
        <v>1170000</v>
      </c>
      <c r="S13" s="426"/>
      <c r="T13" s="422">
        <f t="shared" si="12"/>
        <v>0</v>
      </c>
      <c r="U13" s="426"/>
      <c r="V13" s="427">
        <f t="shared" si="13"/>
        <v>0</v>
      </c>
      <c r="W13" s="427"/>
      <c r="X13" s="422">
        <f t="shared" si="14"/>
        <v>1827334</v>
      </c>
      <c r="Y13" s="422">
        <f t="shared" si="15"/>
        <v>859922</v>
      </c>
      <c r="Z13" s="422">
        <f t="shared" si="16"/>
        <v>53745</v>
      </c>
      <c r="AA13" s="422">
        <f t="shared" si="17"/>
        <v>322471</v>
      </c>
      <c r="AB13" s="422">
        <f t="shared" si="18"/>
        <v>161235</v>
      </c>
      <c r="AC13" s="422">
        <f t="shared" si="19"/>
        <v>107490</v>
      </c>
      <c r="AD13" s="422">
        <f t="shared" si="20"/>
        <v>107490</v>
      </c>
      <c r="AE13" s="422">
        <f t="shared" si="21"/>
        <v>214980</v>
      </c>
      <c r="AF13" s="413"/>
      <c r="AG13" s="422"/>
      <c r="AH13" s="422">
        <f t="shared" si="3"/>
        <v>15423577</v>
      </c>
      <c r="AI13" s="413"/>
      <c r="AJ13" s="386"/>
      <c r="AK13" s="335"/>
      <c r="AL13" s="121"/>
      <c r="AM13" s="127" t="s">
        <v>179</v>
      </c>
      <c r="AN13" s="97">
        <v>6112</v>
      </c>
      <c r="AO13" s="98">
        <f>P8</f>
        <v>217813986</v>
      </c>
      <c r="AP13" s="98"/>
      <c r="AQ13" s="314"/>
      <c r="AR13" s="314"/>
      <c r="AS13" s="314"/>
      <c r="AT13" s="99">
        <f t="shared" si="4"/>
        <v>217813986</v>
      </c>
      <c r="AU13" s="99">
        <f t="shared" si="5"/>
        <v>217813986</v>
      </c>
      <c r="AV13" s="100"/>
      <c r="AW13" s="101"/>
      <c r="AX13" s="98"/>
      <c r="AY13" s="101"/>
      <c r="AZ13" s="102"/>
      <c r="BA13" s="102"/>
      <c r="BB13" s="102"/>
      <c r="BC13" s="105"/>
      <c r="BD13" s="106"/>
    </row>
    <row r="14" spans="1:57" ht="20.25" customHeight="1" thickBot="1" x14ac:dyDescent="0.35">
      <c r="A14" s="412" t="s">
        <v>111</v>
      </c>
      <c r="B14" s="413" t="s">
        <v>16</v>
      </c>
      <c r="C14" s="414" t="s">
        <v>113</v>
      </c>
      <c r="D14" s="433" t="s">
        <v>195</v>
      </c>
      <c r="E14" s="438" t="s">
        <v>326</v>
      </c>
      <c r="F14" s="417">
        <v>3.86</v>
      </c>
      <c r="G14" s="417"/>
      <c r="H14" s="435"/>
      <c r="I14" s="414"/>
      <c r="J14" s="420">
        <v>19</v>
      </c>
      <c r="K14" s="421">
        <f t="shared" si="6"/>
        <v>0.73340000000000005</v>
      </c>
      <c r="L14" s="421">
        <f t="shared" si="7"/>
        <v>4.5933999999999999</v>
      </c>
      <c r="M14" s="422">
        <f t="shared" si="8"/>
        <v>10748556</v>
      </c>
      <c r="N14" s="423">
        <v>0.5</v>
      </c>
      <c r="O14" s="424">
        <f t="shared" si="9"/>
        <v>1.93</v>
      </c>
      <c r="P14" s="422">
        <f t="shared" si="10"/>
        <v>4516200</v>
      </c>
      <c r="Q14" s="425"/>
      <c r="R14" s="422">
        <f t="shared" si="11"/>
        <v>1170000</v>
      </c>
      <c r="S14" s="426"/>
      <c r="T14" s="422">
        <f t="shared" si="12"/>
        <v>0</v>
      </c>
      <c r="U14" s="426"/>
      <c r="V14" s="427">
        <f t="shared" si="13"/>
        <v>0</v>
      </c>
      <c r="W14" s="427"/>
      <c r="X14" s="422">
        <f t="shared" si="14"/>
        <v>1827255</v>
      </c>
      <c r="Y14" s="422">
        <f t="shared" si="15"/>
        <v>859884</v>
      </c>
      <c r="Z14" s="422">
        <f t="shared" si="16"/>
        <v>53743</v>
      </c>
      <c r="AA14" s="422">
        <f t="shared" si="17"/>
        <v>322457</v>
      </c>
      <c r="AB14" s="422">
        <f t="shared" si="18"/>
        <v>161228</v>
      </c>
      <c r="AC14" s="422">
        <f t="shared" si="19"/>
        <v>107486</v>
      </c>
      <c r="AD14" s="422">
        <f t="shared" si="20"/>
        <v>107486</v>
      </c>
      <c r="AE14" s="422">
        <f t="shared" si="21"/>
        <v>214971</v>
      </c>
      <c r="AF14" s="413"/>
      <c r="AG14" s="422"/>
      <c r="AH14" s="422">
        <f t="shared" si="3"/>
        <v>15306158</v>
      </c>
      <c r="AI14" s="413"/>
      <c r="AJ14" s="335"/>
      <c r="AK14" s="336"/>
      <c r="AL14" s="121"/>
      <c r="AM14" s="127" t="s">
        <v>309</v>
      </c>
      <c r="AN14" s="97">
        <v>6113</v>
      </c>
      <c r="AO14" s="98">
        <f>T8</f>
        <v>1170000</v>
      </c>
      <c r="AP14" s="98"/>
      <c r="AQ14" s="314"/>
      <c r="AR14" s="314"/>
      <c r="AS14" s="314"/>
      <c r="AT14" s="99">
        <f t="shared" si="4"/>
        <v>1170000</v>
      </c>
      <c r="AU14" s="99">
        <f t="shared" si="5"/>
        <v>1170000</v>
      </c>
      <c r="AV14" s="132"/>
      <c r="AW14" s="101"/>
      <c r="AX14" s="98"/>
      <c r="AY14" s="101"/>
      <c r="AZ14" s="102"/>
      <c r="BA14" s="102"/>
      <c r="BB14" s="102"/>
      <c r="BC14" s="105"/>
      <c r="BD14" s="106"/>
    </row>
    <row r="15" spans="1:57" ht="20.25" customHeight="1" thickBot="1" x14ac:dyDescent="0.35">
      <c r="A15" s="412" t="s">
        <v>135</v>
      </c>
      <c r="B15" s="413" t="s">
        <v>17</v>
      </c>
      <c r="C15" s="414" t="s">
        <v>113</v>
      </c>
      <c r="D15" s="433" t="s">
        <v>196</v>
      </c>
      <c r="E15" s="434" t="s">
        <v>325</v>
      </c>
      <c r="F15" s="417">
        <f>3.86+0.2</f>
        <v>4.0599999999999996</v>
      </c>
      <c r="G15" s="417"/>
      <c r="H15" s="418" t="s">
        <v>306</v>
      </c>
      <c r="I15" s="419">
        <f>(F15*H15)</f>
        <v>0.20299999999999999</v>
      </c>
      <c r="J15" s="420">
        <v>24</v>
      </c>
      <c r="K15" s="421">
        <f>ROUND((F15+G15+I15)*J15/100,4)</f>
        <v>1.0230999999999999</v>
      </c>
      <c r="L15" s="421">
        <f>F15+G15+I15+K15</f>
        <v>5.2860999999999994</v>
      </c>
      <c r="M15" s="422">
        <f t="shared" si="8"/>
        <v>12369474</v>
      </c>
      <c r="N15" s="423">
        <v>0.5</v>
      </c>
      <c r="O15" s="424">
        <f t="shared" si="9"/>
        <v>2.1315</v>
      </c>
      <c r="P15" s="422">
        <f t="shared" si="10"/>
        <v>4987710</v>
      </c>
      <c r="Q15" s="425"/>
      <c r="R15" s="422">
        <f t="shared" si="11"/>
        <v>1170000</v>
      </c>
      <c r="S15" s="426"/>
      <c r="T15" s="422">
        <f t="shared" si="12"/>
        <v>0</v>
      </c>
      <c r="U15" s="426"/>
      <c r="V15" s="427">
        <f t="shared" si="13"/>
        <v>0</v>
      </c>
      <c r="W15" s="427"/>
      <c r="X15" s="422">
        <f t="shared" si="14"/>
        <v>2102811</v>
      </c>
      <c r="Y15" s="422">
        <f t="shared" si="15"/>
        <v>989558</v>
      </c>
      <c r="Z15" s="422">
        <f t="shared" si="16"/>
        <v>61847</v>
      </c>
      <c r="AA15" s="422">
        <f t="shared" si="17"/>
        <v>371084</v>
      </c>
      <c r="AB15" s="422">
        <f t="shared" si="18"/>
        <v>185542</v>
      </c>
      <c r="AC15" s="422">
        <f t="shared" si="19"/>
        <v>123695</v>
      </c>
      <c r="AD15" s="422">
        <f t="shared" si="20"/>
        <v>123695</v>
      </c>
      <c r="AE15" s="422">
        <f t="shared" si="21"/>
        <v>247389</v>
      </c>
      <c r="AF15" s="413"/>
      <c r="AG15" s="422"/>
      <c r="AH15" s="422">
        <f t="shared" si="3"/>
        <v>17228389</v>
      </c>
      <c r="AI15" s="413"/>
      <c r="AJ15" s="386"/>
      <c r="AK15" s="709"/>
      <c r="AL15" s="709"/>
      <c r="AM15" s="127" t="s">
        <v>180</v>
      </c>
      <c r="AN15" s="97">
        <v>6115</v>
      </c>
      <c r="AO15" s="98">
        <f>ROUND(((K8+I8)*2340000)*89.5%,AQ130)-2</f>
        <v>76850965</v>
      </c>
      <c r="AP15" s="98"/>
      <c r="AQ15" s="98"/>
      <c r="AR15" s="98"/>
      <c r="AS15" s="98"/>
      <c r="AT15" s="99">
        <f t="shared" si="4"/>
        <v>76850965</v>
      </c>
      <c r="AU15" s="99">
        <f t="shared" si="5"/>
        <v>76850965</v>
      </c>
      <c r="AV15" s="132"/>
      <c r="AW15" s="101"/>
      <c r="AX15" s="98">
        <f>R6</f>
        <v>0</v>
      </c>
      <c r="AY15" s="101"/>
      <c r="AZ15" s="102"/>
      <c r="BA15" s="102"/>
      <c r="BB15" s="102"/>
      <c r="BC15" s="105"/>
      <c r="BD15" s="106"/>
    </row>
    <row r="16" spans="1:57" ht="20.25" customHeight="1" thickBot="1" x14ac:dyDescent="0.35">
      <c r="A16" s="412" t="s">
        <v>109</v>
      </c>
      <c r="B16" s="413" t="s">
        <v>12</v>
      </c>
      <c r="C16" s="414" t="s">
        <v>347</v>
      </c>
      <c r="D16" s="433" t="s">
        <v>194</v>
      </c>
      <c r="E16" s="436" t="s">
        <v>327</v>
      </c>
      <c r="F16" s="417">
        <v>4.68</v>
      </c>
      <c r="G16" s="417">
        <v>0.2</v>
      </c>
      <c r="H16" s="435"/>
      <c r="I16" s="414"/>
      <c r="J16" s="420">
        <v>24</v>
      </c>
      <c r="K16" s="421">
        <f t="shared" ref="K16:K55" si="22">ROUND((F16+G16+I16)*J16/100,4)</f>
        <v>1.1712</v>
      </c>
      <c r="L16" s="421">
        <f t="shared" si="7"/>
        <v>6.0511999999999997</v>
      </c>
      <c r="M16" s="422">
        <f t="shared" si="8"/>
        <v>14159808</v>
      </c>
      <c r="N16" s="423">
        <v>0.5</v>
      </c>
      <c r="O16" s="424">
        <f t="shared" si="9"/>
        <v>2.44</v>
      </c>
      <c r="P16" s="422">
        <f t="shared" si="10"/>
        <v>5709600</v>
      </c>
      <c r="Q16" s="425"/>
      <c r="R16" s="422">
        <f t="shared" si="11"/>
        <v>1170000</v>
      </c>
      <c r="S16" s="426"/>
      <c r="T16" s="422">
        <f t="shared" si="12"/>
        <v>0</v>
      </c>
      <c r="U16" s="426"/>
      <c r="V16" s="427">
        <f t="shared" si="13"/>
        <v>0</v>
      </c>
      <c r="W16" s="427"/>
      <c r="X16" s="422">
        <f t="shared" si="14"/>
        <v>2407167</v>
      </c>
      <c r="Y16" s="422">
        <f t="shared" si="15"/>
        <v>1132785</v>
      </c>
      <c r="Z16" s="422">
        <f t="shared" si="16"/>
        <v>70799</v>
      </c>
      <c r="AA16" s="422">
        <f t="shared" si="17"/>
        <v>424794</v>
      </c>
      <c r="AB16" s="422">
        <f t="shared" si="18"/>
        <v>212397</v>
      </c>
      <c r="AC16" s="422">
        <f t="shared" si="19"/>
        <v>141598</v>
      </c>
      <c r="AD16" s="422">
        <f t="shared" si="20"/>
        <v>141598</v>
      </c>
      <c r="AE16" s="422">
        <f t="shared" si="21"/>
        <v>283196</v>
      </c>
      <c r="AF16" s="413"/>
      <c r="AG16" s="422"/>
      <c r="AH16" s="422">
        <f t="shared" si="3"/>
        <v>19552628</v>
      </c>
      <c r="AI16" s="413"/>
      <c r="AJ16" s="335">
        <v>434163</v>
      </c>
      <c r="AK16" s="336" t="s">
        <v>12</v>
      </c>
      <c r="AL16" s="121"/>
      <c r="AM16" s="127" t="s">
        <v>310</v>
      </c>
      <c r="AN16" s="97">
        <v>6149</v>
      </c>
      <c r="AO16" s="98">
        <f>W8</f>
        <v>468000</v>
      </c>
      <c r="AP16" s="98"/>
      <c r="AQ16" s="98"/>
      <c r="AR16" s="98"/>
      <c r="AS16" s="98"/>
      <c r="AT16" s="99">
        <f t="shared" si="4"/>
        <v>468000</v>
      </c>
      <c r="AU16" s="99">
        <f t="shared" si="5"/>
        <v>468000</v>
      </c>
      <c r="AV16" s="132"/>
      <c r="AW16" s="101"/>
      <c r="AX16" s="98"/>
      <c r="AY16" s="101"/>
      <c r="AZ16" s="138"/>
      <c r="BA16" s="102"/>
      <c r="BB16" s="102"/>
      <c r="BC16" s="105"/>
      <c r="BD16" s="106"/>
      <c r="BE16" s="105"/>
    </row>
    <row r="17" spans="1:57" ht="20.25" customHeight="1" thickBot="1" x14ac:dyDescent="0.35">
      <c r="A17" s="412" t="s">
        <v>136</v>
      </c>
      <c r="B17" s="413" t="s">
        <v>18</v>
      </c>
      <c r="C17" s="414" t="s">
        <v>346</v>
      </c>
      <c r="D17" s="428" t="s">
        <v>197</v>
      </c>
      <c r="E17" s="439" t="s">
        <v>328</v>
      </c>
      <c r="F17" s="417">
        <v>3.66</v>
      </c>
      <c r="G17" s="417"/>
      <c r="H17" s="435"/>
      <c r="I17" s="414"/>
      <c r="J17" s="420">
        <v>18</v>
      </c>
      <c r="K17" s="421">
        <f t="shared" si="22"/>
        <v>0.65880000000000005</v>
      </c>
      <c r="L17" s="421">
        <f t="shared" si="7"/>
        <v>4.3188000000000004</v>
      </c>
      <c r="M17" s="422">
        <f t="shared" si="8"/>
        <v>10105992</v>
      </c>
      <c r="N17" s="423">
        <v>0.5</v>
      </c>
      <c r="O17" s="424">
        <f t="shared" si="9"/>
        <v>1.83</v>
      </c>
      <c r="P17" s="422">
        <f t="shared" si="10"/>
        <v>4282200</v>
      </c>
      <c r="Q17" s="425"/>
      <c r="R17" s="422">
        <f t="shared" si="11"/>
        <v>1170000</v>
      </c>
      <c r="S17" s="426"/>
      <c r="T17" s="422">
        <f t="shared" si="12"/>
        <v>0</v>
      </c>
      <c r="U17" s="426"/>
      <c r="V17" s="427">
        <f t="shared" si="13"/>
        <v>0</v>
      </c>
      <c r="W17" s="427"/>
      <c r="X17" s="422">
        <f t="shared" si="14"/>
        <v>1718019</v>
      </c>
      <c r="Y17" s="422">
        <f t="shared" si="15"/>
        <v>808479</v>
      </c>
      <c r="Z17" s="422">
        <f t="shared" si="16"/>
        <v>50530</v>
      </c>
      <c r="AA17" s="422">
        <f t="shared" si="17"/>
        <v>303180</v>
      </c>
      <c r="AB17" s="422">
        <f t="shared" si="18"/>
        <v>151590</v>
      </c>
      <c r="AC17" s="422">
        <f t="shared" si="19"/>
        <v>101060</v>
      </c>
      <c r="AD17" s="422">
        <f t="shared" si="20"/>
        <v>101060</v>
      </c>
      <c r="AE17" s="422">
        <f t="shared" si="21"/>
        <v>202120</v>
      </c>
      <c r="AF17" s="413"/>
      <c r="AG17" s="422"/>
      <c r="AH17" s="422">
        <f t="shared" si="3"/>
        <v>14497063</v>
      </c>
      <c r="AI17" s="413"/>
      <c r="AJ17" s="335">
        <v>139887</v>
      </c>
      <c r="AK17" s="334" t="s">
        <v>18</v>
      </c>
      <c r="AL17" s="121"/>
      <c r="AN17" s="97" t="s">
        <v>311</v>
      </c>
      <c r="AO17" s="255">
        <f>SUM(AO8:AO16)</f>
        <v>760865954</v>
      </c>
      <c r="AP17" s="255">
        <f>SUM(AP8:AP16)</f>
        <v>17550234</v>
      </c>
      <c r="AQ17" s="255">
        <f>SUM(AQ8:AQ16)</f>
        <v>4680000</v>
      </c>
      <c r="AR17" s="255">
        <f>SUM(AR8:AR16)</f>
        <v>0</v>
      </c>
      <c r="AS17" s="255">
        <f t="shared" ref="AS17" si="23">SUM(AS8:AS16)</f>
        <v>0</v>
      </c>
      <c r="AT17" s="258">
        <f>SUM(AT8:AT16)</f>
        <v>783096188</v>
      </c>
      <c r="AU17" s="258">
        <f>SUM(AU8:AU16)</f>
        <v>783096188</v>
      </c>
      <c r="AV17" s="106"/>
      <c r="AW17" s="105"/>
      <c r="AX17" s="99"/>
      <c r="AY17" s="99"/>
      <c r="AZ17" s="99"/>
      <c r="BA17" s="99"/>
      <c r="BB17" s="99"/>
      <c r="BC17" s="105"/>
      <c r="BD17" s="106"/>
      <c r="BE17" s="134"/>
    </row>
    <row r="18" spans="1:57" ht="20.25" customHeight="1" thickBot="1" x14ac:dyDescent="0.35">
      <c r="A18" s="412" t="s">
        <v>108</v>
      </c>
      <c r="B18" s="413" t="s">
        <v>25</v>
      </c>
      <c r="C18" s="414" t="s">
        <v>347</v>
      </c>
      <c r="D18" s="433" t="s">
        <v>203</v>
      </c>
      <c r="E18" s="429" t="s">
        <v>348</v>
      </c>
      <c r="F18" s="417">
        <v>4</v>
      </c>
      <c r="G18" s="417">
        <v>0.15</v>
      </c>
      <c r="H18" s="435"/>
      <c r="I18" s="414"/>
      <c r="J18" s="432">
        <v>15</v>
      </c>
      <c r="K18" s="421">
        <f t="shared" si="22"/>
        <v>0.62250000000000005</v>
      </c>
      <c r="L18" s="421">
        <f t="shared" si="7"/>
        <v>4.7725000000000009</v>
      </c>
      <c r="M18" s="422">
        <f t="shared" si="8"/>
        <v>11167650</v>
      </c>
      <c r="N18" s="423">
        <v>0.5</v>
      </c>
      <c r="O18" s="424">
        <f t="shared" si="9"/>
        <v>2.0750000000000002</v>
      </c>
      <c r="P18" s="422">
        <f t="shared" si="10"/>
        <v>4855500</v>
      </c>
      <c r="Q18" s="425"/>
      <c r="R18" s="422">
        <f t="shared" si="11"/>
        <v>1170000</v>
      </c>
      <c r="S18" s="426"/>
      <c r="T18" s="422">
        <f t="shared" si="12"/>
        <v>0</v>
      </c>
      <c r="U18" s="426"/>
      <c r="V18" s="427">
        <f t="shared" si="13"/>
        <v>0</v>
      </c>
      <c r="W18" s="427"/>
      <c r="X18" s="422">
        <f t="shared" si="14"/>
        <v>1898501</v>
      </c>
      <c r="Y18" s="422">
        <f t="shared" si="15"/>
        <v>893412</v>
      </c>
      <c r="Z18" s="422">
        <f t="shared" si="16"/>
        <v>55838</v>
      </c>
      <c r="AA18" s="422">
        <f t="shared" si="17"/>
        <v>335030</v>
      </c>
      <c r="AB18" s="422">
        <f t="shared" si="18"/>
        <v>167515</v>
      </c>
      <c r="AC18" s="422">
        <f t="shared" si="19"/>
        <v>111677</v>
      </c>
      <c r="AD18" s="422">
        <f t="shared" si="20"/>
        <v>111677</v>
      </c>
      <c r="AE18" s="422">
        <f t="shared" si="21"/>
        <v>223353</v>
      </c>
      <c r="AF18" s="413"/>
      <c r="AG18" s="422"/>
      <c r="AH18" s="422">
        <f t="shared" si="3"/>
        <v>16020546</v>
      </c>
      <c r="AI18" s="413"/>
      <c r="AJ18" s="335">
        <v>9210584</v>
      </c>
      <c r="AK18" s="336" t="s">
        <v>25</v>
      </c>
      <c r="AL18" s="121"/>
      <c r="AN18" s="139"/>
      <c r="AO18" s="79" t="s">
        <v>312</v>
      </c>
      <c r="AP18" s="79" t="s">
        <v>319</v>
      </c>
      <c r="AQ18" s="79" t="s">
        <v>360</v>
      </c>
      <c r="AR18" s="79" t="s">
        <v>361</v>
      </c>
      <c r="AS18" s="79" t="s">
        <v>320</v>
      </c>
      <c r="AT18" s="79"/>
      <c r="AU18" s="79" t="s">
        <v>363</v>
      </c>
      <c r="AV18" s="105"/>
      <c r="AW18" s="106"/>
      <c r="AX18" s="105"/>
      <c r="AY18" s="105"/>
      <c r="AZ18" s="105"/>
      <c r="BA18" s="106"/>
      <c r="BB18" s="106"/>
      <c r="BC18" s="106"/>
      <c r="BD18" s="106"/>
    </row>
    <row r="19" spans="1:57" ht="20.25" customHeight="1" thickBot="1" x14ac:dyDescent="0.35">
      <c r="A19" s="412" t="s">
        <v>106</v>
      </c>
      <c r="B19" s="413" t="s">
        <v>93</v>
      </c>
      <c r="C19" s="414" t="s">
        <v>347</v>
      </c>
      <c r="D19" s="433" t="s">
        <v>196</v>
      </c>
      <c r="E19" s="436" t="s">
        <v>329</v>
      </c>
      <c r="F19" s="417">
        <v>4.34</v>
      </c>
      <c r="G19" s="417"/>
      <c r="H19" s="435"/>
      <c r="I19" s="414"/>
      <c r="J19" s="420">
        <v>24</v>
      </c>
      <c r="K19" s="421">
        <f t="shared" si="22"/>
        <v>1.0416000000000001</v>
      </c>
      <c r="L19" s="421">
        <f t="shared" si="7"/>
        <v>5.3815999999999997</v>
      </c>
      <c r="M19" s="422">
        <f t="shared" si="8"/>
        <v>12592944</v>
      </c>
      <c r="N19" s="423">
        <v>0.5</v>
      </c>
      <c r="O19" s="424">
        <f t="shared" si="9"/>
        <v>2.17</v>
      </c>
      <c r="P19" s="422">
        <f t="shared" si="10"/>
        <v>5077800</v>
      </c>
      <c r="Q19" s="425"/>
      <c r="R19" s="422">
        <f t="shared" si="11"/>
        <v>1170000</v>
      </c>
      <c r="S19" s="426"/>
      <c r="T19" s="422">
        <f t="shared" si="12"/>
        <v>0</v>
      </c>
      <c r="U19" s="426"/>
      <c r="V19" s="427">
        <f t="shared" si="13"/>
        <v>0</v>
      </c>
      <c r="W19" s="427"/>
      <c r="X19" s="422">
        <f t="shared" si="14"/>
        <v>2140800</v>
      </c>
      <c r="Y19" s="422">
        <f t="shared" si="15"/>
        <v>1007436</v>
      </c>
      <c r="Z19" s="422">
        <f t="shared" si="16"/>
        <v>62965</v>
      </c>
      <c r="AA19" s="422">
        <f t="shared" si="17"/>
        <v>377788</v>
      </c>
      <c r="AB19" s="422">
        <f t="shared" si="18"/>
        <v>188894</v>
      </c>
      <c r="AC19" s="422">
        <f t="shared" si="19"/>
        <v>125929</v>
      </c>
      <c r="AD19" s="422">
        <f t="shared" si="20"/>
        <v>125929</v>
      </c>
      <c r="AE19" s="422">
        <f t="shared" si="21"/>
        <v>251859</v>
      </c>
      <c r="AF19" s="413"/>
      <c r="AG19" s="422"/>
      <c r="AH19" s="422">
        <f t="shared" si="3"/>
        <v>17518485</v>
      </c>
      <c r="AI19" s="413"/>
      <c r="AJ19" s="335">
        <v>289442</v>
      </c>
      <c r="AK19" s="334" t="s">
        <v>93</v>
      </c>
      <c r="AL19" s="121"/>
      <c r="AM19" s="127" t="s">
        <v>187</v>
      </c>
      <c r="AN19" s="140">
        <v>6001</v>
      </c>
      <c r="AO19" s="141">
        <f>(F8*2340000)*10.5%+2</f>
        <v>46968014.000000007</v>
      </c>
      <c r="AP19" s="141"/>
      <c r="AQ19" s="141"/>
      <c r="AR19" s="141"/>
      <c r="AS19" s="142"/>
      <c r="AT19" s="394">
        <f>AT8+AO19</f>
        <v>447314400</v>
      </c>
      <c r="AU19" s="311">
        <f>AS8+AQ19</f>
        <v>0</v>
      </c>
      <c r="AV19" s="105" t="s">
        <v>183</v>
      </c>
      <c r="AW19" s="105">
        <f>AS8+AQ19</f>
        <v>0</v>
      </c>
      <c r="AX19" s="106"/>
      <c r="AY19" s="106"/>
      <c r="AZ19" s="106"/>
      <c r="BA19" s="106"/>
      <c r="BB19" s="106"/>
      <c r="BC19" s="106"/>
      <c r="BD19" s="106"/>
    </row>
    <row r="20" spans="1:57" ht="20.25" customHeight="1" thickBot="1" x14ac:dyDescent="0.35">
      <c r="A20" s="412" t="s">
        <v>105</v>
      </c>
      <c r="B20" s="413" t="s">
        <v>19</v>
      </c>
      <c r="C20" s="414" t="s">
        <v>346</v>
      </c>
      <c r="D20" s="433" t="s">
        <v>199</v>
      </c>
      <c r="E20" s="438" t="s">
        <v>330</v>
      </c>
      <c r="F20" s="417">
        <v>4.32</v>
      </c>
      <c r="G20" s="417"/>
      <c r="H20" s="440"/>
      <c r="I20" s="144"/>
      <c r="J20" s="420">
        <v>27</v>
      </c>
      <c r="K20" s="421">
        <f t="shared" si="22"/>
        <v>1.1664000000000001</v>
      </c>
      <c r="L20" s="421">
        <f t="shared" si="7"/>
        <v>5.4864000000000006</v>
      </c>
      <c r="M20" s="422">
        <f t="shared" si="8"/>
        <v>12838176</v>
      </c>
      <c r="N20" s="423">
        <v>0.5</v>
      </c>
      <c r="O20" s="424">
        <f t="shared" si="9"/>
        <v>2.16</v>
      </c>
      <c r="P20" s="422">
        <f t="shared" si="10"/>
        <v>5054400</v>
      </c>
      <c r="Q20" s="425"/>
      <c r="R20" s="422">
        <f t="shared" si="11"/>
        <v>1170000</v>
      </c>
      <c r="S20" s="426"/>
      <c r="T20" s="422">
        <f t="shared" si="12"/>
        <v>0</v>
      </c>
      <c r="U20" s="426"/>
      <c r="V20" s="427">
        <f t="shared" si="13"/>
        <v>0</v>
      </c>
      <c r="W20" s="427"/>
      <c r="X20" s="422">
        <f t="shared" si="14"/>
        <v>2182490</v>
      </c>
      <c r="Y20" s="422">
        <f t="shared" si="15"/>
        <v>1027054</v>
      </c>
      <c r="Z20" s="422">
        <f t="shared" si="16"/>
        <v>64191</v>
      </c>
      <c r="AA20" s="422">
        <f t="shared" si="17"/>
        <v>385145</v>
      </c>
      <c r="AB20" s="422">
        <f t="shared" si="18"/>
        <v>192573</v>
      </c>
      <c r="AC20" s="422">
        <f t="shared" si="19"/>
        <v>128382</v>
      </c>
      <c r="AD20" s="422">
        <f t="shared" si="20"/>
        <v>128382</v>
      </c>
      <c r="AE20" s="422">
        <f t="shared" si="21"/>
        <v>256764</v>
      </c>
      <c r="AF20" s="413"/>
      <c r="AG20" s="422"/>
      <c r="AH20" s="422">
        <f t="shared" si="3"/>
        <v>17714567</v>
      </c>
      <c r="AI20" s="413"/>
      <c r="AJ20" s="335">
        <v>736492</v>
      </c>
      <c r="AK20" s="334" t="s">
        <v>19</v>
      </c>
      <c r="AL20" s="121"/>
      <c r="AM20" s="127" t="s">
        <v>188</v>
      </c>
      <c r="AN20" s="140">
        <v>6051</v>
      </c>
      <c r="AO20" s="141">
        <f>(F58*2340000)*10.5%</f>
        <v>2058966</v>
      </c>
      <c r="AP20" s="141"/>
      <c r="AQ20" s="142"/>
      <c r="AR20" s="142"/>
      <c r="AS20" s="142"/>
      <c r="AT20" s="328">
        <f>AP9+AO20</f>
        <v>19609200</v>
      </c>
      <c r="AU20" s="311">
        <f>AQ22+AS15</f>
        <v>0</v>
      </c>
      <c r="AV20" s="106" t="s">
        <v>362</v>
      </c>
      <c r="AW20" s="105"/>
      <c r="AX20" s="105">
        <f>AT18+AO42+AO32</f>
        <v>0</v>
      </c>
      <c r="AY20" s="106"/>
      <c r="AZ20" s="106"/>
      <c r="BA20" s="106"/>
      <c r="BB20" s="106"/>
      <c r="BC20" s="106"/>
      <c r="BD20" s="106"/>
    </row>
    <row r="21" spans="1:57" ht="20.25" customHeight="1" thickBot="1" x14ac:dyDescent="0.35">
      <c r="A21" s="412" t="s">
        <v>103</v>
      </c>
      <c r="B21" s="413" t="s">
        <v>20</v>
      </c>
      <c r="C21" s="414" t="s">
        <v>123</v>
      </c>
      <c r="D21" s="433" t="s">
        <v>198</v>
      </c>
      <c r="E21" s="436" t="s">
        <v>331</v>
      </c>
      <c r="F21" s="417">
        <v>4.6500000000000004</v>
      </c>
      <c r="G21" s="417"/>
      <c r="H21" s="435"/>
      <c r="I21" s="414"/>
      <c r="J21" s="420">
        <v>26</v>
      </c>
      <c r="K21" s="421">
        <f t="shared" si="22"/>
        <v>1.2090000000000001</v>
      </c>
      <c r="L21" s="421">
        <f t="shared" si="7"/>
        <v>5.859</v>
      </c>
      <c r="M21" s="422">
        <f t="shared" si="8"/>
        <v>13710060</v>
      </c>
      <c r="N21" s="423">
        <v>0.5</v>
      </c>
      <c r="O21" s="424">
        <f t="shared" si="9"/>
        <v>2.3250000000000002</v>
      </c>
      <c r="P21" s="422">
        <f t="shared" si="10"/>
        <v>5440500</v>
      </c>
      <c r="Q21" s="425"/>
      <c r="R21" s="422">
        <f t="shared" si="11"/>
        <v>1170000</v>
      </c>
      <c r="S21" s="426"/>
      <c r="T21" s="422">
        <f t="shared" si="12"/>
        <v>0</v>
      </c>
      <c r="U21" s="426"/>
      <c r="V21" s="427">
        <f t="shared" si="13"/>
        <v>0</v>
      </c>
      <c r="W21" s="427"/>
      <c r="X21" s="422">
        <f t="shared" si="14"/>
        <v>2330710</v>
      </c>
      <c r="Y21" s="422">
        <f t="shared" si="15"/>
        <v>1096805</v>
      </c>
      <c r="Z21" s="422">
        <f t="shared" si="16"/>
        <v>68550</v>
      </c>
      <c r="AA21" s="422">
        <f t="shared" si="17"/>
        <v>411302</v>
      </c>
      <c r="AB21" s="422">
        <f t="shared" si="18"/>
        <v>205651</v>
      </c>
      <c r="AC21" s="422">
        <f t="shared" si="19"/>
        <v>137101</v>
      </c>
      <c r="AD21" s="422">
        <f t="shared" si="20"/>
        <v>137101</v>
      </c>
      <c r="AE21" s="422">
        <f t="shared" si="21"/>
        <v>274201</v>
      </c>
      <c r="AF21" s="413"/>
      <c r="AG21" s="422"/>
      <c r="AH21" s="422">
        <f t="shared" si="3"/>
        <v>18881003</v>
      </c>
      <c r="AI21" s="413"/>
      <c r="AJ21" s="386"/>
      <c r="AK21" s="335"/>
      <c r="AL21" s="121">
        <f>AH21-'luong 9-2024'!AH21</f>
        <v>-114265</v>
      </c>
      <c r="AM21" s="127" t="s">
        <v>189</v>
      </c>
      <c r="AN21" s="140">
        <v>6101</v>
      </c>
      <c r="AO21" s="141">
        <f>(G8*2340000)*10.5%+3</f>
        <v>835383</v>
      </c>
      <c r="AP21" s="141"/>
      <c r="AQ21" s="142"/>
      <c r="AR21" s="142"/>
      <c r="AS21" s="142"/>
      <c r="AT21" s="328">
        <f>AT10+AO21</f>
        <v>7956000</v>
      </c>
      <c r="AU21" s="311">
        <f t="shared" ref="AU21" si="24">AS10+AQ21</f>
        <v>0</v>
      </c>
      <c r="AV21" s="105"/>
      <c r="AW21" s="146"/>
      <c r="AX21" s="105"/>
      <c r="AY21" s="147"/>
      <c r="AZ21" s="147"/>
      <c r="BA21" s="102"/>
      <c r="BB21" s="102"/>
      <c r="BC21" s="102"/>
      <c r="BD21" s="316"/>
    </row>
    <row r="22" spans="1:57" ht="20.25" customHeight="1" thickBot="1" x14ac:dyDescent="0.35">
      <c r="A22" s="412" t="s">
        <v>142</v>
      </c>
      <c r="B22" s="413" t="s">
        <v>21</v>
      </c>
      <c r="C22" s="414" t="s">
        <v>347</v>
      </c>
      <c r="D22" s="433" t="s">
        <v>297</v>
      </c>
      <c r="E22" s="438" t="s">
        <v>332</v>
      </c>
      <c r="F22" s="417">
        <v>4</v>
      </c>
      <c r="G22" s="417"/>
      <c r="H22" s="441"/>
      <c r="I22" s="414"/>
      <c r="J22" s="442">
        <v>17</v>
      </c>
      <c r="K22" s="421">
        <f t="shared" si="22"/>
        <v>0.68</v>
      </c>
      <c r="L22" s="421">
        <f t="shared" si="7"/>
        <v>4.68</v>
      </c>
      <c r="M22" s="422">
        <f t="shared" si="8"/>
        <v>10951200</v>
      </c>
      <c r="N22" s="423">
        <v>0.5</v>
      </c>
      <c r="O22" s="424">
        <f t="shared" si="9"/>
        <v>2</v>
      </c>
      <c r="P22" s="422">
        <f t="shared" si="10"/>
        <v>4680000</v>
      </c>
      <c r="Q22" s="425"/>
      <c r="R22" s="422">
        <f t="shared" si="11"/>
        <v>1170000</v>
      </c>
      <c r="S22" s="426"/>
      <c r="T22" s="422">
        <f t="shared" si="12"/>
        <v>0</v>
      </c>
      <c r="U22" s="426"/>
      <c r="V22" s="427">
        <f t="shared" si="13"/>
        <v>0</v>
      </c>
      <c r="W22" s="427"/>
      <c r="X22" s="422">
        <f t="shared" si="14"/>
        <v>1861704</v>
      </c>
      <c r="Y22" s="422">
        <f t="shared" si="15"/>
        <v>876096</v>
      </c>
      <c r="Z22" s="422">
        <f t="shared" si="16"/>
        <v>54756</v>
      </c>
      <c r="AA22" s="422">
        <f t="shared" si="17"/>
        <v>328536</v>
      </c>
      <c r="AB22" s="422">
        <f t="shared" si="18"/>
        <v>164268</v>
      </c>
      <c r="AC22" s="422">
        <f t="shared" si="19"/>
        <v>109512</v>
      </c>
      <c r="AD22" s="422">
        <f t="shared" si="20"/>
        <v>109512</v>
      </c>
      <c r="AE22" s="422">
        <f t="shared" si="21"/>
        <v>219024</v>
      </c>
      <c r="AF22" s="413"/>
      <c r="AG22" s="422"/>
      <c r="AH22" s="422">
        <f t="shared" si="3"/>
        <v>15651324</v>
      </c>
      <c r="AI22" s="413"/>
      <c r="AJ22" s="335">
        <v>139243</v>
      </c>
      <c r="AK22" s="334" t="s">
        <v>21</v>
      </c>
      <c r="AL22" s="121"/>
      <c r="AM22" s="148" t="s">
        <v>190</v>
      </c>
      <c r="AN22" s="140">
        <v>6115</v>
      </c>
      <c r="AO22" s="141">
        <f>((I8+K8)*2340000)*10.5%+2</f>
        <v>9016037.209999999</v>
      </c>
      <c r="AP22" s="141"/>
      <c r="AQ22" s="141"/>
      <c r="AR22" s="141"/>
      <c r="AS22" s="142"/>
      <c r="AT22" s="328">
        <f>AT15+AO22</f>
        <v>85867002.209999993</v>
      </c>
      <c r="AU22" s="311"/>
      <c r="AV22" s="105"/>
      <c r="AW22" s="146">
        <f>AQ22+AS15</f>
        <v>0</v>
      </c>
      <c r="AX22" s="143"/>
      <c r="AY22" s="150"/>
      <c r="AZ22" s="150"/>
      <c r="BA22" s="151"/>
      <c r="BB22" s="151"/>
      <c r="BC22" s="102"/>
      <c r="BD22" s="138"/>
    </row>
    <row r="23" spans="1:57" ht="20.25" customHeight="1" thickBot="1" x14ac:dyDescent="0.35">
      <c r="A23" s="412" t="s">
        <v>143</v>
      </c>
      <c r="B23" s="413" t="s">
        <v>26</v>
      </c>
      <c r="C23" s="414" t="s">
        <v>346</v>
      </c>
      <c r="D23" s="433" t="s">
        <v>203</v>
      </c>
      <c r="E23" s="429" t="s">
        <v>348</v>
      </c>
      <c r="F23" s="430">
        <v>3.66</v>
      </c>
      <c r="G23" s="430"/>
      <c r="H23" s="443"/>
      <c r="I23" s="443"/>
      <c r="J23" s="432">
        <v>15</v>
      </c>
      <c r="K23" s="421">
        <f t="shared" si="22"/>
        <v>0.54900000000000004</v>
      </c>
      <c r="L23" s="421">
        <f t="shared" si="7"/>
        <v>4.2090000000000005</v>
      </c>
      <c r="M23" s="422">
        <f t="shared" si="8"/>
        <v>9849060</v>
      </c>
      <c r="N23" s="423">
        <v>0.5</v>
      </c>
      <c r="O23" s="424">
        <f t="shared" si="9"/>
        <v>1.83</v>
      </c>
      <c r="P23" s="422">
        <f t="shared" si="10"/>
        <v>4282200</v>
      </c>
      <c r="Q23" s="425"/>
      <c r="R23" s="422">
        <f t="shared" si="11"/>
        <v>1170000</v>
      </c>
      <c r="S23" s="426"/>
      <c r="T23" s="422">
        <f t="shared" si="12"/>
        <v>0</v>
      </c>
      <c r="U23" s="426"/>
      <c r="V23" s="427">
        <f t="shared" si="13"/>
        <v>0</v>
      </c>
      <c r="W23" s="427"/>
      <c r="X23" s="422">
        <f t="shared" si="14"/>
        <v>1674340</v>
      </c>
      <c r="Y23" s="422">
        <f t="shared" si="15"/>
        <v>787925</v>
      </c>
      <c r="Z23" s="422">
        <f t="shared" si="16"/>
        <v>49245</v>
      </c>
      <c r="AA23" s="422">
        <f t="shared" si="17"/>
        <v>295472</v>
      </c>
      <c r="AB23" s="422">
        <f t="shared" si="18"/>
        <v>147736</v>
      </c>
      <c r="AC23" s="422">
        <f t="shared" si="19"/>
        <v>98491</v>
      </c>
      <c r="AD23" s="422">
        <f t="shared" si="20"/>
        <v>98491</v>
      </c>
      <c r="AE23" s="422">
        <f t="shared" si="21"/>
        <v>196981</v>
      </c>
      <c r="AF23" s="413"/>
      <c r="AG23" s="422"/>
      <c r="AH23" s="422">
        <f t="shared" si="3"/>
        <v>14267108</v>
      </c>
      <c r="AI23" s="413"/>
      <c r="AJ23" s="335">
        <v>2749428</v>
      </c>
      <c r="AK23" s="334" t="s">
        <v>26</v>
      </c>
      <c r="AL23" s="121"/>
      <c r="AM23" s="148">
        <v>0.17</v>
      </c>
      <c r="AN23" s="140">
        <v>6301</v>
      </c>
      <c r="AO23" s="327">
        <f>X63</f>
        <v>95326921</v>
      </c>
      <c r="AP23" s="142"/>
      <c r="AQ23" s="149"/>
      <c r="AR23" s="149"/>
      <c r="AS23" s="142"/>
      <c r="AT23" s="143"/>
      <c r="AU23" s="311"/>
      <c r="AV23" s="145"/>
      <c r="AW23" s="153"/>
      <c r="AX23" s="106"/>
      <c r="AY23" s="147"/>
      <c r="AZ23" s="147"/>
      <c r="BA23" s="699"/>
      <c r="BB23" s="699"/>
      <c r="BC23" s="699"/>
      <c r="BD23" s="699"/>
    </row>
    <row r="24" spans="1:57" ht="20.25" customHeight="1" thickBot="1" x14ac:dyDescent="0.35">
      <c r="A24" s="412" t="s">
        <v>101</v>
      </c>
      <c r="B24" s="413" t="s">
        <v>94</v>
      </c>
      <c r="C24" s="414" t="s">
        <v>346</v>
      </c>
      <c r="D24" s="428" t="s">
        <v>203</v>
      </c>
      <c r="E24" s="429" t="s">
        <v>348</v>
      </c>
      <c r="F24" s="417">
        <v>3.66</v>
      </c>
      <c r="G24" s="444">
        <v>0.2</v>
      </c>
      <c r="H24" s="435"/>
      <c r="I24" s="414"/>
      <c r="J24" s="432">
        <v>15</v>
      </c>
      <c r="K24" s="421">
        <f t="shared" si="22"/>
        <v>0.57899999999999996</v>
      </c>
      <c r="L24" s="421">
        <f t="shared" si="7"/>
        <v>4.4390000000000001</v>
      </c>
      <c r="M24" s="422">
        <f t="shared" si="8"/>
        <v>10387260</v>
      </c>
      <c r="N24" s="423">
        <v>0.5</v>
      </c>
      <c r="O24" s="424">
        <f t="shared" si="9"/>
        <v>1.9300000000000002</v>
      </c>
      <c r="P24" s="422">
        <f t="shared" si="10"/>
        <v>4516200</v>
      </c>
      <c r="Q24" s="425"/>
      <c r="R24" s="422">
        <f t="shared" si="11"/>
        <v>1170000</v>
      </c>
      <c r="S24" s="426"/>
      <c r="T24" s="422">
        <f t="shared" si="12"/>
        <v>0</v>
      </c>
      <c r="U24" s="426"/>
      <c r="V24" s="427">
        <f t="shared" si="13"/>
        <v>0</v>
      </c>
      <c r="W24" s="427"/>
      <c r="X24" s="422">
        <f t="shared" si="14"/>
        <v>1765834</v>
      </c>
      <c r="Y24" s="422">
        <f t="shared" si="15"/>
        <v>830981</v>
      </c>
      <c r="Z24" s="422">
        <f t="shared" si="16"/>
        <v>51936</v>
      </c>
      <c r="AA24" s="422">
        <f t="shared" si="17"/>
        <v>311618</v>
      </c>
      <c r="AB24" s="422">
        <f t="shared" si="18"/>
        <v>155809</v>
      </c>
      <c r="AC24" s="422">
        <f t="shared" si="19"/>
        <v>103873</v>
      </c>
      <c r="AD24" s="422">
        <f t="shared" si="20"/>
        <v>103873</v>
      </c>
      <c r="AE24" s="422">
        <f t="shared" si="21"/>
        <v>207745</v>
      </c>
      <c r="AF24" s="413"/>
      <c r="AG24" s="422"/>
      <c r="AH24" s="422">
        <f t="shared" si="3"/>
        <v>14982797</v>
      </c>
      <c r="AI24" s="413"/>
      <c r="AJ24" s="49">
        <v>3683396</v>
      </c>
      <c r="AK24" s="334" t="s">
        <v>94</v>
      </c>
      <c r="AL24" s="121"/>
      <c r="AM24" s="148">
        <v>0.03</v>
      </c>
      <c r="AN24" s="140">
        <v>6302</v>
      </c>
      <c r="AO24" s="327">
        <f>AA63</f>
        <v>16822399</v>
      </c>
      <c r="AP24" s="142"/>
      <c r="AQ24" s="149"/>
      <c r="AR24" s="149"/>
      <c r="AS24" s="142"/>
      <c r="AT24" s="143"/>
      <c r="AU24" s="311"/>
      <c r="AV24" s="105"/>
      <c r="AW24" s="153"/>
      <c r="AX24" s="106"/>
      <c r="AY24" s="147"/>
      <c r="AZ24" s="147"/>
      <c r="BA24" s="699"/>
      <c r="BB24" s="699"/>
      <c r="BC24" s="699"/>
      <c r="BD24" s="699"/>
    </row>
    <row r="25" spans="1:57" ht="20.25" customHeight="1" thickBot="1" x14ac:dyDescent="0.35">
      <c r="A25" s="412" t="s">
        <v>92</v>
      </c>
      <c r="B25" s="413" t="s">
        <v>88</v>
      </c>
      <c r="C25" s="414" t="s">
        <v>346</v>
      </c>
      <c r="D25" s="433" t="s">
        <v>200</v>
      </c>
      <c r="E25" s="429" t="s">
        <v>348</v>
      </c>
      <c r="F25" s="430">
        <v>3.66</v>
      </c>
      <c r="G25" s="430"/>
      <c r="H25" s="431"/>
      <c r="I25" s="414"/>
      <c r="J25" s="420">
        <v>17</v>
      </c>
      <c r="K25" s="421">
        <f t="shared" si="22"/>
        <v>0.62219999999999998</v>
      </c>
      <c r="L25" s="421">
        <f t="shared" si="7"/>
        <v>4.2822000000000005</v>
      </c>
      <c r="M25" s="422">
        <f t="shared" si="8"/>
        <v>10020348</v>
      </c>
      <c r="N25" s="423">
        <v>0.5</v>
      </c>
      <c r="O25" s="424">
        <f t="shared" si="9"/>
        <v>1.83</v>
      </c>
      <c r="P25" s="422">
        <f t="shared" si="10"/>
        <v>4282200</v>
      </c>
      <c r="Q25" s="425"/>
      <c r="R25" s="422">
        <f t="shared" si="11"/>
        <v>1170000</v>
      </c>
      <c r="S25" s="426"/>
      <c r="T25" s="422">
        <f t="shared" si="12"/>
        <v>0</v>
      </c>
      <c r="U25" s="426"/>
      <c r="V25" s="427">
        <f t="shared" si="13"/>
        <v>0</v>
      </c>
      <c r="W25" s="427"/>
      <c r="X25" s="422">
        <f t="shared" si="14"/>
        <v>1703459</v>
      </c>
      <c r="Y25" s="422">
        <f t="shared" si="15"/>
        <v>801628</v>
      </c>
      <c r="Z25" s="422">
        <f t="shared" si="16"/>
        <v>50102</v>
      </c>
      <c r="AA25" s="422">
        <f t="shared" si="17"/>
        <v>300610</v>
      </c>
      <c r="AB25" s="422">
        <f t="shared" si="18"/>
        <v>150305</v>
      </c>
      <c r="AC25" s="422">
        <f t="shared" si="19"/>
        <v>100203</v>
      </c>
      <c r="AD25" s="422">
        <f t="shared" si="20"/>
        <v>100203</v>
      </c>
      <c r="AE25" s="422">
        <f t="shared" si="21"/>
        <v>200407</v>
      </c>
      <c r="AF25" s="413"/>
      <c r="AG25" s="422"/>
      <c r="AH25" s="422">
        <f t="shared" si="3"/>
        <v>14420412</v>
      </c>
      <c r="AI25" s="413"/>
      <c r="AJ25" s="335">
        <v>2781648</v>
      </c>
      <c r="AK25" s="334" t="s">
        <v>88</v>
      </c>
      <c r="AL25" s="121"/>
      <c r="AM25" s="148">
        <v>0.01</v>
      </c>
      <c r="AN25" s="140">
        <v>6304</v>
      </c>
      <c r="AO25" s="395">
        <f>AD63</f>
        <v>5607470</v>
      </c>
      <c r="AP25" s="149"/>
      <c r="AQ25" s="142"/>
      <c r="AR25" s="142"/>
      <c r="AS25" s="142"/>
      <c r="AT25" s="143"/>
      <c r="AU25" s="311"/>
      <c r="AV25" s="106"/>
      <c r="AW25" s="153"/>
      <c r="AX25" s="106"/>
      <c r="AY25" s="154"/>
      <c r="AZ25" s="154"/>
      <c r="BA25" s="102"/>
      <c r="BB25" s="102"/>
      <c r="BC25" s="102"/>
      <c r="BD25" s="138"/>
    </row>
    <row r="26" spans="1:57" ht="20.25" customHeight="1" thickBot="1" x14ac:dyDescent="0.35">
      <c r="A26" s="412" t="s">
        <v>134</v>
      </c>
      <c r="B26" s="413" t="s">
        <v>10</v>
      </c>
      <c r="C26" s="414" t="s">
        <v>346</v>
      </c>
      <c r="D26" s="433" t="s">
        <v>204</v>
      </c>
      <c r="E26" s="436" t="s">
        <v>333</v>
      </c>
      <c r="F26" s="417">
        <v>3.66</v>
      </c>
      <c r="G26" s="417"/>
      <c r="H26" s="435"/>
      <c r="I26" s="414"/>
      <c r="J26" s="420">
        <v>13</v>
      </c>
      <c r="K26" s="421">
        <f t="shared" si="22"/>
        <v>0.4758</v>
      </c>
      <c r="L26" s="421">
        <f t="shared" si="7"/>
        <v>4.1357999999999997</v>
      </c>
      <c r="M26" s="422">
        <f t="shared" si="8"/>
        <v>9677772</v>
      </c>
      <c r="N26" s="423">
        <v>0.5</v>
      </c>
      <c r="O26" s="424">
        <f t="shared" si="9"/>
        <v>1.83</v>
      </c>
      <c r="P26" s="422">
        <f t="shared" si="10"/>
        <v>4282200</v>
      </c>
      <c r="Q26" s="425"/>
      <c r="R26" s="422">
        <f t="shared" si="11"/>
        <v>1170000</v>
      </c>
      <c r="S26" s="426">
        <v>0.3</v>
      </c>
      <c r="T26" s="422">
        <f t="shared" si="12"/>
        <v>702000</v>
      </c>
      <c r="U26" s="426"/>
      <c r="V26" s="427">
        <f t="shared" si="13"/>
        <v>0</v>
      </c>
      <c r="W26" s="427">
        <f>0.2*2340000</f>
        <v>468000</v>
      </c>
      <c r="X26" s="422">
        <f t="shared" si="14"/>
        <v>1645221</v>
      </c>
      <c r="Y26" s="422">
        <f t="shared" si="15"/>
        <v>774222</v>
      </c>
      <c r="Z26" s="422">
        <f t="shared" si="16"/>
        <v>48389</v>
      </c>
      <c r="AA26" s="422">
        <f t="shared" si="17"/>
        <v>290333</v>
      </c>
      <c r="AB26" s="422">
        <f t="shared" si="18"/>
        <v>145167</v>
      </c>
      <c r="AC26" s="422">
        <f t="shared" si="19"/>
        <v>96778</v>
      </c>
      <c r="AD26" s="422">
        <f t="shared" si="20"/>
        <v>96778</v>
      </c>
      <c r="AE26" s="422">
        <f t="shared" si="21"/>
        <v>193555</v>
      </c>
      <c r="AF26" s="413"/>
      <c r="AG26" s="422"/>
      <c r="AH26" s="422">
        <f t="shared" si="3"/>
        <v>15283805</v>
      </c>
      <c r="AI26" s="413"/>
      <c r="AJ26" s="335">
        <v>136021</v>
      </c>
      <c r="AK26" s="334" t="s">
        <v>10</v>
      </c>
      <c r="AL26" s="121"/>
      <c r="AM26" s="127">
        <v>0.5</v>
      </c>
      <c r="AN26" s="101"/>
      <c r="AO26" s="326">
        <f>Z63</f>
        <v>2803733</v>
      </c>
      <c r="AP26" s="98"/>
      <c r="AQ26" s="142"/>
      <c r="AR26" s="142"/>
      <c r="AS26" s="142"/>
      <c r="AT26" s="143"/>
      <c r="AU26" s="311"/>
      <c r="AV26" s="106"/>
      <c r="AW26" s="153"/>
      <c r="AX26" s="106"/>
      <c r="AY26" s="154"/>
      <c r="AZ26" s="154"/>
      <c r="BA26" s="102"/>
      <c r="BB26" s="102"/>
      <c r="BC26" s="102"/>
      <c r="BD26" s="138"/>
    </row>
    <row r="27" spans="1:57" ht="20.25" customHeight="1" thickBot="1" x14ac:dyDescent="0.35">
      <c r="A27" s="412" t="s">
        <v>97</v>
      </c>
      <c r="B27" s="413" t="s">
        <v>95</v>
      </c>
      <c r="C27" s="414" t="s">
        <v>346</v>
      </c>
      <c r="D27" s="433" t="s">
        <v>203</v>
      </c>
      <c r="E27" s="429" t="s">
        <v>348</v>
      </c>
      <c r="F27" s="417">
        <v>3.66</v>
      </c>
      <c r="G27" s="417">
        <v>0.2</v>
      </c>
      <c r="H27" s="435"/>
      <c r="I27" s="414"/>
      <c r="J27" s="432">
        <v>15</v>
      </c>
      <c r="K27" s="421">
        <f t="shared" si="22"/>
        <v>0.57899999999999996</v>
      </c>
      <c r="L27" s="421">
        <f t="shared" si="7"/>
        <v>4.4390000000000001</v>
      </c>
      <c r="M27" s="422">
        <f t="shared" si="8"/>
        <v>10387260</v>
      </c>
      <c r="N27" s="423">
        <v>0.5</v>
      </c>
      <c r="O27" s="424">
        <f t="shared" si="9"/>
        <v>1.9300000000000002</v>
      </c>
      <c r="P27" s="422">
        <f t="shared" si="10"/>
        <v>4516200</v>
      </c>
      <c r="Q27" s="425"/>
      <c r="R27" s="422">
        <f t="shared" si="11"/>
        <v>1170000</v>
      </c>
      <c r="S27" s="426"/>
      <c r="T27" s="422">
        <f t="shared" si="12"/>
        <v>0</v>
      </c>
      <c r="U27" s="426"/>
      <c r="V27" s="427">
        <f t="shared" si="13"/>
        <v>0</v>
      </c>
      <c r="W27" s="427"/>
      <c r="X27" s="422">
        <f t="shared" si="14"/>
        <v>1765834</v>
      </c>
      <c r="Y27" s="422">
        <f t="shared" si="15"/>
        <v>830981</v>
      </c>
      <c r="Z27" s="422">
        <f t="shared" si="16"/>
        <v>51936</v>
      </c>
      <c r="AA27" s="422">
        <f t="shared" si="17"/>
        <v>311618</v>
      </c>
      <c r="AB27" s="422">
        <f t="shared" si="18"/>
        <v>155809</v>
      </c>
      <c r="AC27" s="422">
        <f t="shared" si="19"/>
        <v>103873</v>
      </c>
      <c r="AD27" s="422">
        <f t="shared" si="20"/>
        <v>103873</v>
      </c>
      <c r="AE27" s="422">
        <f t="shared" si="21"/>
        <v>207745</v>
      </c>
      <c r="AF27" s="413"/>
      <c r="AG27" s="422"/>
      <c r="AH27" s="422">
        <f t="shared" si="3"/>
        <v>14982797</v>
      </c>
      <c r="AI27" s="413"/>
      <c r="AJ27" s="335">
        <v>2749428</v>
      </c>
      <c r="AK27" s="336" t="s">
        <v>95</v>
      </c>
      <c r="AL27" s="121"/>
      <c r="AN27" s="256" t="s">
        <v>311</v>
      </c>
      <c r="AO27" s="255">
        <f>SUM(AO19:AO26)</f>
        <v>179438923.21000001</v>
      </c>
      <c r="AP27" s="255">
        <f t="shared" ref="AP27" si="25">SUM(AP19:AP26)</f>
        <v>0</v>
      </c>
      <c r="AQ27" s="255"/>
      <c r="AR27" s="255"/>
      <c r="AS27" s="255"/>
      <c r="AT27" s="145"/>
      <c r="AU27" s="145"/>
      <c r="AV27" s="106"/>
      <c r="AW27" s="106"/>
      <c r="AX27" s="106"/>
      <c r="AY27" s="106"/>
      <c r="AZ27" s="106"/>
      <c r="BA27" s="106"/>
      <c r="BB27" s="106"/>
      <c r="BC27" s="106"/>
      <c r="BD27" s="106"/>
    </row>
    <row r="28" spans="1:57" ht="20.25" customHeight="1" thickBot="1" x14ac:dyDescent="0.35">
      <c r="A28" s="412" t="s">
        <v>99</v>
      </c>
      <c r="B28" s="413" t="s">
        <v>22</v>
      </c>
      <c r="C28" s="414" t="s">
        <v>346</v>
      </c>
      <c r="D28" s="428" t="s">
        <v>205</v>
      </c>
      <c r="E28" s="439" t="s">
        <v>328</v>
      </c>
      <c r="F28" s="430">
        <v>3.33</v>
      </c>
      <c r="G28" s="430"/>
      <c r="H28" s="443"/>
      <c r="I28" s="414"/>
      <c r="J28" s="432">
        <v>12</v>
      </c>
      <c r="K28" s="421">
        <f t="shared" si="22"/>
        <v>0.39960000000000001</v>
      </c>
      <c r="L28" s="421">
        <f t="shared" si="7"/>
        <v>3.7296</v>
      </c>
      <c r="M28" s="422">
        <f t="shared" si="8"/>
        <v>8727264</v>
      </c>
      <c r="N28" s="423">
        <v>0.5</v>
      </c>
      <c r="O28" s="424">
        <f t="shared" si="9"/>
        <v>1.665</v>
      </c>
      <c r="P28" s="422">
        <f t="shared" si="10"/>
        <v>3896100</v>
      </c>
      <c r="Q28" s="425"/>
      <c r="R28" s="422">
        <f t="shared" si="11"/>
        <v>1170000</v>
      </c>
      <c r="S28" s="426"/>
      <c r="T28" s="422">
        <f t="shared" si="12"/>
        <v>0</v>
      </c>
      <c r="U28" s="426"/>
      <c r="V28" s="427">
        <f t="shared" si="13"/>
        <v>0</v>
      </c>
      <c r="W28" s="427"/>
      <c r="X28" s="422">
        <f t="shared" si="14"/>
        <v>1483635</v>
      </c>
      <c r="Y28" s="422">
        <f t="shared" si="15"/>
        <v>698181</v>
      </c>
      <c r="Z28" s="422">
        <f t="shared" si="16"/>
        <v>43636</v>
      </c>
      <c r="AA28" s="422">
        <f t="shared" si="17"/>
        <v>261818</v>
      </c>
      <c r="AB28" s="422">
        <f t="shared" si="18"/>
        <v>130909</v>
      </c>
      <c r="AC28" s="422">
        <f t="shared" si="19"/>
        <v>87273</v>
      </c>
      <c r="AD28" s="422">
        <f t="shared" si="20"/>
        <v>87273</v>
      </c>
      <c r="AE28" s="422">
        <f t="shared" si="21"/>
        <v>174545</v>
      </c>
      <c r="AF28" s="413"/>
      <c r="AG28" s="422"/>
      <c r="AH28" s="422">
        <f t="shared" si="3"/>
        <v>12877001</v>
      </c>
      <c r="AI28" s="413"/>
      <c r="AJ28" s="335">
        <v>4046814</v>
      </c>
      <c r="AK28" s="334" t="s">
        <v>22</v>
      </c>
      <c r="AL28" s="121"/>
      <c r="AN28" s="106"/>
      <c r="AO28" s="143"/>
      <c r="AP28" s="143"/>
      <c r="AQ28" s="143"/>
      <c r="AR28" s="143"/>
      <c r="AS28" s="143"/>
      <c r="AT28" s="105"/>
      <c r="AU28" s="105"/>
      <c r="AV28" s="106"/>
      <c r="AW28" s="106"/>
      <c r="AX28" s="105"/>
      <c r="AY28" s="106"/>
      <c r="AZ28" s="106"/>
      <c r="BA28" s="106"/>
      <c r="BB28" s="106"/>
      <c r="BC28" s="106"/>
      <c r="BD28" s="106"/>
    </row>
    <row r="29" spans="1:57" ht="20.25" customHeight="1" thickTop="1" thickBot="1" x14ac:dyDescent="0.35">
      <c r="A29" s="412" t="s">
        <v>91</v>
      </c>
      <c r="B29" s="413" t="s">
        <v>3</v>
      </c>
      <c r="C29" s="414" t="s">
        <v>347</v>
      </c>
      <c r="D29" s="433" t="s">
        <v>194</v>
      </c>
      <c r="E29" s="445" t="s">
        <v>334</v>
      </c>
      <c r="F29" s="417">
        <v>5.0199999999999996</v>
      </c>
      <c r="G29" s="417"/>
      <c r="H29" s="435"/>
      <c r="I29" s="414"/>
      <c r="J29" s="420">
        <v>25</v>
      </c>
      <c r="K29" s="421">
        <f t="shared" si="22"/>
        <v>1.2549999999999999</v>
      </c>
      <c r="L29" s="421">
        <f t="shared" si="7"/>
        <v>6.2749999999999995</v>
      </c>
      <c r="M29" s="422">
        <f t="shared" si="8"/>
        <v>14683500</v>
      </c>
      <c r="N29" s="423">
        <v>0.5</v>
      </c>
      <c r="O29" s="424">
        <f t="shared" si="9"/>
        <v>2.5099999999999998</v>
      </c>
      <c r="P29" s="422">
        <f t="shared" si="10"/>
        <v>5873400</v>
      </c>
      <c r="Q29" s="425"/>
      <c r="R29" s="422">
        <f t="shared" si="11"/>
        <v>1170000</v>
      </c>
      <c r="S29" s="426"/>
      <c r="T29" s="422">
        <f t="shared" si="12"/>
        <v>0</v>
      </c>
      <c r="U29" s="426"/>
      <c r="V29" s="427">
        <f t="shared" si="13"/>
        <v>0</v>
      </c>
      <c r="W29" s="427"/>
      <c r="X29" s="422">
        <f t="shared" si="14"/>
        <v>2496195</v>
      </c>
      <c r="Y29" s="422">
        <f t="shared" si="15"/>
        <v>1174680</v>
      </c>
      <c r="Z29" s="422">
        <f t="shared" si="16"/>
        <v>73418</v>
      </c>
      <c r="AA29" s="422">
        <f t="shared" si="17"/>
        <v>440505</v>
      </c>
      <c r="AB29" s="422">
        <f t="shared" si="18"/>
        <v>220253</v>
      </c>
      <c r="AC29" s="422">
        <f t="shared" si="19"/>
        <v>146835</v>
      </c>
      <c r="AD29" s="422">
        <f t="shared" si="20"/>
        <v>146835</v>
      </c>
      <c r="AE29" s="422">
        <f t="shared" si="21"/>
        <v>293670</v>
      </c>
      <c r="AF29" s="413"/>
      <c r="AG29" s="422"/>
      <c r="AH29" s="422">
        <f t="shared" si="3"/>
        <v>20185132</v>
      </c>
      <c r="AI29" s="413"/>
      <c r="AJ29" s="335">
        <v>582106</v>
      </c>
      <c r="AK29" s="334" t="s">
        <v>3</v>
      </c>
      <c r="AL29" s="121"/>
      <c r="AM29" s="155">
        <v>0.02</v>
      </c>
      <c r="AN29" s="156" t="s">
        <v>43</v>
      </c>
      <c r="AO29" s="330">
        <f>AE63</f>
        <v>11214929</v>
      </c>
      <c r="AP29" s="158"/>
      <c r="AQ29" s="158"/>
      <c r="AR29" s="158"/>
      <c r="AS29" s="157"/>
      <c r="AT29" s="102">
        <f>AR29-AQ29</f>
        <v>0</v>
      </c>
      <c r="AU29" s="102"/>
      <c r="AV29" s="106"/>
      <c r="AW29" s="708"/>
      <c r="AX29" s="105"/>
      <c r="AY29" s="106"/>
      <c r="AZ29" s="106"/>
      <c r="BA29" s="106"/>
      <c r="BB29" s="106"/>
      <c r="BC29" s="106"/>
      <c r="BD29" s="106"/>
    </row>
    <row r="30" spans="1:57" ht="20.25" customHeight="1" thickTop="1" thickBot="1" x14ac:dyDescent="0.35">
      <c r="A30" s="412" t="s">
        <v>144</v>
      </c>
      <c r="B30" s="413" t="s">
        <v>67</v>
      </c>
      <c r="C30" s="414" t="s">
        <v>347</v>
      </c>
      <c r="D30" s="433" t="s">
        <v>202</v>
      </c>
      <c r="E30" s="436" t="s">
        <v>325</v>
      </c>
      <c r="F30" s="430">
        <v>5.0199999999999996</v>
      </c>
      <c r="G30" s="430"/>
      <c r="H30" s="431"/>
      <c r="I30" s="414"/>
      <c r="J30" s="420">
        <v>27</v>
      </c>
      <c r="K30" s="421">
        <f t="shared" si="22"/>
        <v>1.3553999999999999</v>
      </c>
      <c r="L30" s="421">
        <f t="shared" si="7"/>
        <v>6.3753999999999991</v>
      </c>
      <c r="M30" s="422">
        <f t="shared" si="8"/>
        <v>14918436</v>
      </c>
      <c r="N30" s="423">
        <v>0.5</v>
      </c>
      <c r="O30" s="424">
        <f t="shared" si="9"/>
        <v>2.5099999999999998</v>
      </c>
      <c r="P30" s="422">
        <f t="shared" si="10"/>
        <v>5873400</v>
      </c>
      <c r="Q30" s="425"/>
      <c r="R30" s="422">
        <f t="shared" si="11"/>
        <v>1170000</v>
      </c>
      <c r="S30" s="426"/>
      <c r="T30" s="422">
        <f t="shared" si="12"/>
        <v>0</v>
      </c>
      <c r="U30" s="426"/>
      <c r="V30" s="427">
        <f t="shared" si="13"/>
        <v>0</v>
      </c>
      <c r="W30" s="427"/>
      <c r="X30" s="422">
        <f t="shared" si="14"/>
        <v>2536134</v>
      </c>
      <c r="Y30" s="422">
        <f t="shared" si="15"/>
        <v>1193475</v>
      </c>
      <c r="Z30" s="422">
        <f t="shared" si="16"/>
        <v>74592</v>
      </c>
      <c r="AA30" s="422">
        <f t="shared" si="17"/>
        <v>447553</v>
      </c>
      <c r="AB30" s="422">
        <f t="shared" si="18"/>
        <v>223777</v>
      </c>
      <c r="AC30" s="422">
        <f t="shared" si="19"/>
        <v>149184</v>
      </c>
      <c r="AD30" s="422">
        <f t="shared" si="20"/>
        <v>149184</v>
      </c>
      <c r="AE30" s="422">
        <f t="shared" si="21"/>
        <v>298369</v>
      </c>
      <c r="AF30" s="413"/>
      <c r="AG30" s="422"/>
      <c r="AH30" s="422">
        <f t="shared" si="3"/>
        <v>20395400</v>
      </c>
      <c r="AI30" s="413"/>
      <c r="AJ30" s="335">
        <v>1355146</v>
      </c>
      <c r="AK30" s="334" t="s">
        <v>67</v>
      </c>
      <c r="AL30" s="121"/>
      <c r="AM30" s="159"/>
      <c r="AN30" s="156"/>
      <c r="AO30" s="157"/>
      <c r="AP30" s="157"/>
      <c r="AQ30" s="158"/>
      <c r="AR30" s="158"/>
      <c r="AS30" s="158"/>
      <c r="AT30" s="102"/>
      <c r="AU30" s="102"/>
      <c r="AV30" s="106"/>
      <c r="AW30" s="708"/>
      <c r="AX30" s="99"/>
      <c r="AY30" s="106"/>
      <c r="AZ30" s="106"/>
      <c r="BA30" s="106"/>
      <c r="BB30" s="106"/>
      <c r="BC30" s="106"/>
      <c r="BD30" s="106"/>
    </row>
    <row r="31" spans="1:57" ht="20.25" customHeight="1" thickTop="1" thickBot="1" x14ac:dyDescent="0.35">
      <c r="A31" s="412" t="s">
        <v>145</v>
      </c>
      <c r="B31" s="413" t="s">
        <v>4</v>
      </c>
      <c r="C31" s="425" t="s">
        <v>5</v>
      </c>
      <c r="D31" s="415" t="s">
        <v>298</v>
      </c>
      <c r="E31" s="436" t="s">
        <v>318</v>
      </c>
      <c r="F31" s="430">
        <v>3.06</v>
      </c>
      <c r="G31" s="430">
        <v>0.2</v>
      </c>
      <c r="H31" s="443"/>
      <c r="I31" s="443"/>
      <c r="J31" s="425"/>
      <c r="K31" s="421">
        <f t="shared" si="22"/>
        <v>0</v>
      </c>
      <c r="L31" s="421">
        <f t="shared" si="7"/>
        <v>3.2600000000000002</v>
      </c>
      <c r="M31" s="422">
        <f t="shared" si="8"/>
        <v>7628400</v>
      </c>
      <c r="N31" s="446">
        <v>0</v>
      </c>
      <c r="O31" s="424">
        <f t="shared" si="9"/>
        <v>0</v>
      </c>
      <c r="P31" s="422">
        <f t="shared" si="10"/>
        <v>0</v>
      </c>
      <c r="Q31" s="425"/>
      <c r="R31" s="422">
        <f t="shared" si="11"/>
        <v>1170000</v>
      </c>
      <c r="S31" s="426">
        <v>0.1</v>
      </c>
      <c r="T31" s="422">
        <f t="shared" si="12"/>
        <v>234000</v>
      </c>
      <c r="U31" s="426">
        <v>0.2</v>
      </c>
      <c r="V31" s="427">
        <f t="shared" si="13"/>
        <v>468000</v>
      </c>
      <c r="W31" s="427"/>
      <c r="X31" s="422">
        <f t="shared" si="14"/>
        <v>1296828</v>
      </c>
      <c r="Y31" s="422">
        <f t="shared" si="15"/>
        <v>610272</v>
      </c>
      <c r="Z31" s="422">
        <f t="shared" si="16"/>
        <v>38142</v>
      </c>
      <c r="AA31" s="422">
        <f t="shared" si="17"/>
        <v>228852</v>
      </c>
      <c r="AB31" s="422">
        <f t="shared" si="18"/>
        <v>114426</v>
      </c>
      <c r="AC31" s="422">
        <f t="shared" si="19"/>
        <v>76284</v>
      </c>
      <c r="AD31" s="422">
        <f t="shared" si="20"/>
        <v>76284</v>
      </c>
      <c r="AE31" s="422">
        <f t="shared" si="21"/>
        <v>152568</v>
      </c>
      <c r="AF31" s="413"/>
      <c r="AG31" s="422"/>
      <c r="AH31" s="422">
        <f t="shared" si="3"/>
        <v>8699418</v>
      </c>
      <c r="AI31" s="413"/>
      <c r="AJ31" s="335"/>
      <c r="AK31" s="334"/>
      <c r="AL31" s="121"/>
      <c r="AM31" s="159"/>
      <c r="AN31" s="156"/>
      <c r="AO31" s="157"/>
      <c r="AP31" s="158"/>
      <c r="AQ31" s="158"/>
      <c r="AR31" s="158"/>
      <c r="AS31" s="158"/>
      <c r="AT31" s="102"/>
      <c r="AU31" s="102"/>
      <c r="AV31" s="106"/>
      <c r="AW31" s="708"/>
      <c r="AX31" s="105"/>
      <c r="AY31" s="106"/>
      <c r="AZ31" s="106"/>
      <c r="BA31" s="106"/>
      <c r="BB31" s="106"/>
      <c r="BC31" s="106"/>
      <c r="BD31" s="106"/>
    </row>
    <row r="32" spans="1:57" ht="20.25" customHeight="1" thickTop="1" x14ac:dyDescent="0.3">
      <c r="A32" s="412" t="s">
        <v>146</v>
      </c>
      <c r="B32" s="413" t="s">
        <v>7</v>
      </c>
      <c r="C32" s="414" t="s">
        <v>347</v>
      </c>
      <c r="D32" s="433" t="s">
        <v>201</v>
      </c>
      <c r="E32" s="436" t="s">
        <v>335</v>
      </c>
      <c r="F32" s="417">
        <v>4</v>
      </c>
      <c r="G32" s="447"/>
      <c r="H32" s="413"/>
      <c r="I32" s="419"/>
      <c r="J32" s="420">
        <v>22</v>
      </c>
      <c r="K32" s="421">
        <f t="shared" si="22"/>
        <v>0.88</v>
      </c>
      <c r="L32" s="421">
        <f t="shared" si="7"/>
        <v>4.88</v>
      </c>
      <c r="M32" s="422">
        <f t="shared" si="8"/>
        <v>11419200</v>
      </c>
      <c r="N32" s="423">
        <v>0.5</v>
      </c>
      <c r="O32" s="424">
        <f t="shared" si="9"/>
        <v>2</v>
      </c>
      <c r="P32" s="422">
        <f t="shared" si="10"/>
        <v>4680000</v>
      </c>
      <c r="Q32" s="425"/>
      <c r="R32" s="422">
        <f t="shared" si="11"/>
        <v>1170000</v>
      </c>
      <c r="S32" s="426"/>
      <c r="T32" s="422">
        <f t="shared" si="12"/>
        <v>0</v>
      </c>
      <c r="U32" s="426"/>
      <c r="V32" s="427">
        <f t="shared" si="13"/>
        <v>0</v>
      </c>
      <c r="W32" s="427">
        <v>0</v>
      </c>
      <c r="X32" s="422">
        <f t="shared" si="14"/>
        <v>1941264</v>
      </c>
      <c r="Y32" s="422">
        <f t="shared" si="15"/>
        <v>913536</v>
      </c>
      <c r="Z32" s="422">
        <f t="shared" si="16"/>
        <v>57096</v>
      </c>
      <c r="AA32" s="422">
        <f t="shared" si="17"/>
        <v>342576</v>
      </c>
      <c r="AB32" s="422">
        <f t="shared" si="18"/>
        <v>171288</v>
      </c>
      <c r="AC32" s="422">
        <f t="shared" si="19"/>
        <v>114192</v>
      </c>
      <c r="AD32" s="422">
        <f t="shared" si="20"/>
        <v>114192</v>
      </c>
      <c r="AE32" s="422">
        <f t="shared" si="21"/>
        <v>228384</v>
      </c>
      <c r="AF32" s="413"/>
      <c r="AG32" s="422"/>
      <c r="AH32" s="422">
        <f t="shared" si="3"/>
        <v>16070184</v>
      </c>
      <c r="AI32" s="413"/>
      <c r="AJ32" s="335">
        <v>143110</v>
      </c>
      <c r="AK32" s="334" t="s">
        <v>7</v>
      </c>
      <c r="AL32" s="121"/>
      <c r="AM32" s="160"/>
      <c r="AN32" s="161"/>
      <c r="AO32" s="102"/>
      <c r="AP32" s="162"/>
      <c r="AQ32" s="162"/>
      <c r="AR32" s="162"/>
      <c r="AS32" s="162"/>
      <c r="AT32" s="102"/>
      <c r="AU32" s="102"/>
      <c r="AV32" s="106"/>
      <c r="AW32" s="708"/>
      <c r="AX32" s="105"/>
      <c r="AY32" s="106"/>
      <c r="AZ32" s="106"/>
      <c r="BA32" s="106"/>
      <c r="BB32" s="106"/>
      <c r="BC32" s="106"/>
      <c r="BD32" s="106"/>
    </row>
    <row r="33" spans="1:56" ht="20.25" customHeight="1" x14ac:dyDescent="0.3">
      <c r="A33" s="412" t="s">
        <v>147</v>
      </c>
      <c r="B33" s="413" t="s">
        <v>8</v>
      </c>
      <c r="C33" s="414" t="s">
        <v>347</v>
      </c>
      <c r="D33" s="433" t="s">
        <v>202</v>
      </c>
      <c r="E33" s="448" t="s">
        <v>336</v>
      </c>
      <c r="F33" s="417">
        <v>5.0199999999999996</v>
      </c>
      <c r="G33" s="447"/>
      <c r="H33" s="413"/>
      <c r="I33" s="419"/>
      <c r="J33" s="432">
        <v>29</v>
      </c>
      <c r="K33" s="421">
        <f t="shared" si="22"/>
        <v>1.4558</v>
      </c>
      <c r="L33" s="421">
        <f t="shared" si="7"/>
        <v>6.4757999999999996</v>
      </c>
      <c r="M33" s="422">
        <f t="shared" si="8"/>
        <v>15153372</v>
      </c>
      <c r="N33" s="423">
        <v>0.5</v>
      </c>
      <c r="O33" s="424">
        <f t="shared" si="9"/>
        <v>2.5099999999999998</v>
      </c>
      <c r="P33" s="422">
        <f t="shared" si="10"/>
        <v>5873400</v>
      </c>
      <c r="Q33" s="425"/>
      <c r="R33" s="422">
        <f t="shared" si="11"/>
        <v>1170000</v>
      </c>
      <c r="S33" s="426"/>
      <c r="T33" s="422">
        <f t="shared" si="12"/>
        <v>0</v>
      </c>
      <c r="U33" s="426"/>
      <c r="V33" s="427">
        <f t="shared" si="13"/>
        <v>0</v>
      </c>
      <c r="W33" s="427"/>
      <c r="X33" s="422">
        <f t="shared" si="14"/>
        <v>2576073</v>
      </c>
      <c r="Y33" s="422">
        <f t="shared" si="15"/>
        <v>1212270</v>
      </c>
      <c r="Z33" s="422">
        <f t="shared" si="16"/>
        <v>75767</v>
      </c>
      <c r="AA33" s="422">
        <f t="shared" si="17"/>
        <v>454601</v>
      </c>
      <c r="AB33" s="422">
        <f t="shared" si="18"/>
        <v>227301</v>
      </c>
      <c r="AC33" s="422">
        <f t="shared" si="19"/>
        <v>151534</v>
      </c>
      <c r="AD33" s="422">
        <f t="shared" si="20"/>
        <v>151534</v>
      </c>
      <c r="AE33" s="422">
        <f t="shared" si="21"/>
        <v>303067</v>
      </c>
      <c r="AF33" s="413"/>
      <c r="AG33" s="422"/>
      <c r="AH33" s="422">
        <f t="shared" si="3"/>
        <v>20605667</v>
      </c>
      <c r="AI33" s="413"/>
      <c r="AJ33" s="335">
        <v>595638</v>
      </c>
      <c r="AK33" s="336" t="s">
        <v>8</v>
      </c>
      <c r="AL33" s="121"/>
      <c r="AM33" s="160"/>
      <c r="AN33" s="138"/>
      <c r="AO33" s="102"/>
      <c r="AP33" s="102"/>
      <c r="AQ33" s="102"/>
      <c r="AR33" s="102"/>
      <c r="AS33" s="102"/>
      <c r="AT33" s="138"/>
      <c r="AU33" s="138"/>
      <c r="AV33" s="78"/>
      <c r="AW33" s="78"/>
      <c r="AX33" s="78"/>
      <c r="AY33" s="78"/>
      <c r="AZ33" s="78"/>
      <c r="BA33" s="78"/>
      <c r="BB33" s="78"/>
      <c r="BC33" s="78"/>
      <c r="BD33" s="78"/>
    </row>
    <row r="34" spans="1:56" ht="20.25" customHeight="1" x14ac:dyDescent="0.3">
      <c r="A34" s="412" t="s">
        <v>148</v>
      </c>
      <c r="B34" s="413" t="s">
        <v>9</v>
      </c>
      <c r="C34" s="414" t="s">
        <v>347</v>
      </c>
      <c r="D34" s="433" t="s">
        <v>199</v>
      </c>
      <c r="E34" s="445" t="s">
        <v>337</v>
      </c>
      <c r="F34" s="417">
        <v>5.0199999999999996</v>
      </c>
      <c r="G34" s="447"/>
      <c r="H34" s="413"/>
      <c r="I34" s="419"/>
      <c r="J34" s="432">
        <v>26</v>
      </c>
      <c r="K34" s="421">
        <f t="shared" si="22"/>
        <v>1.3051999999999999</v>
      </c>
      <c r="L34" s="421">
        <f t="shared" si="7"/>
        <v>6.3251999999999997</v>
      </c>
      <c r="M34" s="422">
        <f t="shared" si="8"/>
        <v>14800968</v>
      </c>
      <c r="N34" s="423">
        <v>0.5</v>
      </c>
      <c r="O34" s="424">
        <f t="shared" si="9"/>
        <v>2.5099999999999998</v>
      </c>
      <c r="P34" s="422">
        <f t="shared" si="10"/>
        <v>5873400</v>
      </c>
      <c r="Q34" s="425"/>
      <c r="R34" s="422">
        <f t="shared" si="11"/>
        <v>1170000</v>
      </c>
      <c r="S34" s="426"/>
      <c r="T34" s="422">
        <f t="shared" si="12"/>
        <v>0</v>
      </c>
      <c r="U34" s="426"/>
      <c r="V34" s="427">
        <f t="shared" si="13"/>
        <v>0</v>
      </c>
      <c r="W34" s="427"/>
      <c r="X34" s="422">
        <f t="shared" si="14"/>
        <v>2516165</v>
      </c>
      <c r="Y34" s="422">
        <f t="shared" si="15"/>
        <v>1184077</v>
      </c>
      <c r="Z34" s="422">
        <f t="shared" si="16"/>
        <v>74005</v>
      </c>
      <c r="AA34" s="422">
        <f t="shared" si="17"/>
        <v>444029</v>
      </c>
      <c r="AB34" s="422">
        <f t="shared" si="18"/>
        <v>222015</v>
      </c>
      <c r="AC34" s="422">
        <f t="shared" si="19"/>
        <v>148010</v>
      </c>
      <c r="AD34" s="422">
        <f t="shared" si="20"/>
        <v>148010</v>
      </c>
      <c r="AE34" s="422">
        <f t="shared" si="21"/>
        <v>296019</v>
      </c>
      <c r="AF34" s="413"/>
      <c r="AG34" s="422"/>
      <c r="AH34" s="422">
        <f t="shared" si="3"/>
        <v>20290266</v>
      </c>
      <c r="AI34" s="413"/>
      <c r="AJ34" s="335">
        <v>585972</v>
      </c>
      <c r="AK34" s="334" t="s">
        <v>116</v>
      </c>
      <c r="AL34" s="121"/>
      <c r="AM34" s="160"/>
      <c r="AN34" s="163"/>
      <c r="AO34" s="147"/>
      <c r="AP34" s="147"/>
      <c r="AQ34" s="102"/>
      <c r="AR34" s="102"/>
      <c r="AS34" s="147"/>
      <c r="AT34" s="164"/>
      <c r="AU34" s="164"/>
      <c r="AV34" s="78"/>
      <c r="AW34" s="78"/>
      <c r="AX34" s="78"/>
      <c r="AY34" s="78"/>
      <c r="AZ34" s="78"/>
      <c r="BA34" s="78"/>
      <c r="BB34" s="78"/>
      <c r="BC34" s="78"/>
      <c r="BD34" s="78"/>
    </row>
    <row r="35" spans="1:56" ht="20.25" customHeight="1" x14ac:dyDescent="0.3">
      <c r="A35" s="412" t="s">
        <v>149</v>
      </c>
      <c r="B35" s="413" t="s">
        <v>11</v>
      </c>
      <c r="C35" s="414" t="s">
        <v>346</v>
      </c>
      <c r="D35" s="428" t="s">
        <v>206</v>
      </c>
      <c r="E35" s="429" t="s">
        <v>278</v>
      </c>
      <c r="F35" s="430">
        <v>3</v>
      </c>
      <c r="G35" s="430"/>
      <c r="H35" s="449"/>
      <c r="I35" s="449"/>
      <c r="J35" s="432">
        <v>8</v>
      </c>
      <c r="K35" s="421">
        <f t="shared" si="22"/>
        <v>0.24</v>
      </c>
      <c r="L35" s="421">
        <f t="shared" si="7"/>
        <v>3.24</v>
      </c>
      <c r="M35" s="422">
        <f t="shared" si="8"/>
        <v>7581600</v>
      </c>
      <c r="N35" s="423">
        <v>0.5</v>
      </c>
      <c r="O35" s="424">
        <f t="shared" si="9"/>
        <v>1.5</v>
      </c>
      <c r="P35" s="422">
        <f t="shared" si="10"/>
        <v>3510000</v>
      </c>
      <c r="Q35" s="425"/>
      <c r="R35" s="422">
        <f t="shared" si="11"/>
        <v>1170000</v>
      </c>
      <c r="S35" s="426"/>
      <c r="T35" s="422">
        <f t="shared" si="12"/>
        <v>0</v>
      </c>
      <c r="U35" s="426"/>
      <c r="V35" s="427">
        <f t="shared" si="13"/>
        <v>0</v>
      </c>
      <c r="W35" s="427"/>
      <c r="X35" s="422">
        <f t="shared" si="14"/>
        <v>1288872</v>
      </c>
      <c r="Y35" s="422">
        <f t="shared" si="15"/>
        <v>606528</v>
      </c>
      <c r="Z35" s="422">
        <f t="shared" si="16"/>
        <v>37908</v>
      </c>
      <c r="AA35" s="422">
        <f t="shared" si="17"/>
        <v>227448</v>
      </c>
      <c r="AB35" s="422">
        <f t="shared" si="18"/>
        <v>113724</v>
      </c>
      <c r="AC35" s="422">
        <f t="shared" si="19"/>
        <v>75816</v>
      </c>
      <c r="AD35" s="422">
        <f t="shared" si="20"/>
        <v>75816</v>
      </c>
      <c r="AE35" s="422">
        <f t="shared" si="21"/>
        <v>151632</v>
      </c>
      <c r="AF35" s="413"/>
      <c r="AG35" s="422"/>
      <c r="AH35" s="422">
        <f t="shared" si="3"/>
        <v>11465532</v>
      </c>
      <c r="AI35" s="413"/>
      <c r="AJ35" s="335">
        <v>3686810</v>
      </c>
      <c r="AK35" s="334" t="s">
        <v>11</v>
      </c>
      <c r="AL35" s="121"/>
      <c r="AM35" s="160"/>
      <c r="AN35" s="163"/>
      <c r="AO35" s="150"/>
      <c r="AP35" s="150"/>
      <c r="AQ35" s="150"/>
      <c r="AR35" s="150"/>
      <c r="AS35" s="102"/>
      <c r="AT35" s="164"/>
      <c r="AU35" s="164"/>
      <c r="AV35" s="78"/>
      <c r="AW35" s="78"/>
      <c r="AX35" s="78"/>
      <c r="AY35" s="78"/>
      <c r="AZ35" s="78"/>
      <c r="BA35" s="78"/>
      <c r="BB35" s="78"/>
      <c r="BC35" s="78"/>
      <c r="BD35" s="78"/>
    </row>
    <row r="36" spans="1:56" ht="20.25" customHeight="1" x14ac:dyDescent="0.3">
      <c r="A36" s="412" t="s">
        <v>150</v>
      </c>
      <c r="B36" s="413" t="s">
        <v>27</v>
      </c>
      <c r="C36" s="414" t="s">
        <v>346</v>
      </c>
      <c r="D36" s="433" t="s">
        <v>205</v>
      </c>
      <c r="E36" s="436" t="s">
        <v>338</v>
      </c>
      <c r="F36" s="430">
        <v>3.33</v>
      </c>
      <c r="G36" s="450"/>
      <c r="H36" s="440"/>
      <c r="I36" s="419"/>
      <c r="J36" s="420">
        <v>12</v>
      </c>
      <c r="K36" s="421">
        <f t="shared" si="22"/>
        <v>0.39960000000000001</v>
      </c>
      <c r="L36" s="421">
        <f t="shared" si="7"/>
        <v>3.7296</v>
      </c>
      <c r="M36" s="422">
        <f t="shared" si="8"/>
        <v>8727264</v>
      </c>
      <c r="N36" s="423">
        <v>0.5</v>
      </c>
      <c r="O36" s="424">
        <f t="shared" si="9"/>
        <v>1.665</v>
      </c>
      <c r="P36" s="422">
        <f t="shared" si="10"/>
        <v>3896100</v>
      </c>
      <c r="Q36" s="425"/>
      <c r="R36" s="422">
        <f t="shared" si="11"/>
        <v>1170000</v>
      </c>
      <c r="S36" s="426"/>
      <c r="T36" s="422">
        <f t="shared" si="12"/>
        <v>0</v>
      </c>
      <c r="U36" s="426"/>
      <c r="V36" s="427">
        <f t="shared" si="13"/>
        <v>0</v>
      </c>
      <c r="W36" s="427"/>
      <c r="X36" s="422">
        <f t="shared" si="14"/>
        <v>1483635</v>
      </c>
      <c r="Y36" s="422">
        <f t="shared" si="15"/>
        <v>698181</v>
      </c>
      <c r="Z36" s="422">
        <f t="shared" si="16"/>
        <v>43636</v>
      </c>
      <c r="AA36" s="422">
        <f t="shared" si="17"/>
        <v>261818</v>
      </c>
      <c r="AB36" s="422">
        <f t="shared" si="18"/>
        <v>130909</v>
      </c>
      <c r="AC36" s="422">
        <f t="shared" si="19"/>
        <v>87273</v>
      </c>
      <c r="AD36" s="422">
        <f t="shared" si="20"/>
        <v>87273</v>
      </c>
      <c r="AE36" s="422">
        <f t="shared" si="21"/>
        <v>174545</v>
      </c>
      <c r="AF36" s="413"/>
      <c r="AG36" s="422"/>
      <c r="AH36" s="422">
        <f t="shared" si="3"/>
        <v>12877001</v>
      </c>
      <c r="AI36" s="413"/>
      <c r="AJ36" s="335">
        <v>4046814</v>
      </c>
      <c r="AK36" s="336" t="s">
        <v>27</v>
      </c>
      <c r="AL36" s="121"/>
      <c r="AM36" s="160"/>
      <c r="AN36" s="163"/>
      <c r="AO36" s="147"/>
      <c r="AP36" s="102"/>
      <c r="AQ36" s="102"/>
      <c r="AR36" s="102"/>
      <c r="AS36" s="102"/>
      <c r="AT36" s="164"/>
      <c r="AU36" s="164"/>
      <c r="AV36" s="78"/>
      <c r="AW36" s="78"/>
      <c r="AX36" s="78"/>
      <c r="AY36" s="78"/>
      <c r="AZ36" s="78"/>
      <c r="BA36" s="78"/>
      <c r="BB36" s="78"/>
      <c r="BC36" s="78"/>
      <c r="BD36" s="78"/>
    </row>
    <row r="37" spans="1:56" ht="20.25" customHeight="1" x14ac:dyDescent="0.3">
      <c r="A37" s="412" t="s">
        <v>151</v>
      </c>
      <c r="B37" s="413" t="s">
        <v>77</v>
      </c>
      <c r="C37" s="414" t="s">
        <v>347</v>
      </c>
      <c r="D37" s="433" t="s">
        <v>218</v>
      </c>
      <c r="E37" s="436" t="s">
        <v>339</v>
      </c>
      <c r="F37" s="430">
        <v>5.0199999999999996</v>
      </c>
      <c r="G37" s="450"/>
      <c r="H37" s="440"/>
      <c r="I37" s="419"/>
      <c r="J37" s="420">
        <v>29</v>
      </c>
      <c r="K37" s="421">
        <f t="shared" si="22"/>
        <v>1.4558</v>
      </c>
      <c r="L37" s="421">
        <f t="shared" si="7"/>
        <v>6.4757999999999996</v>
      </c>
      <c r="M37" s="422">
        <f t="shared" si="8"/>
        <v>15153372</v>
      </c>
      <c r="N37" s="423">
        <v>0.5</v>
      </c>
      <c r="O37" s="424">
        <f t="shared" si="9"/>
        <v>2.5099999999999998</v>
      </c>
      <c r="P37" s="422">
        <f t="shared" si="10"/>
        <v>5873400</v>
      </c>
      <c r="Q37" s="425"/>
      <c r="R37" s="422">
        <f t="shared" si="11"/>
        <v>1170000</v>
      </c>
      <c r="S37" s="426"/>
      <c r="T37" s="422">
        <f t="shared" si="12"/>
        <v>0</v>
      </c>
      <c r="U37" s="426"/>
      <c r="V37" s="427">
        <f t="shared" si="13"/>
        <v>0</v>
      </c>
      <c r="W37" s="427"/>
      <c r="X37" s="422">
        <f t="shared" si="14"/>
        <v>2576073</v>
      </c>
      <c r="Y37" s="422">
        <f t="shared" si="15"/>
        <v>1212270</v>
      </c>
      <c r="Z37" s="422">
        <f t="shared" si="16"/>
        <v>75767</v>
      </c>
      <c r="AA37" s="422">
        <f t="shared" si="17"/>
        <v>454601</v>
      </c>
      <c r="AB37" s="422">
        <f t="shared" si="18"/>
        <v>227301</v>
      </c>
      <c r="AC37" s="422">
        <f t="shared" si="19"/>
        <v>151534</v>
      </c>
      <c r="AD37" s="422">
        <f t="shared" si="20"/>
        <v>151534</v>
      </c>
      <c r="AE37" s="422">
        <f t="shared" si="21"/>
        <v>303067</v>
      </c>
      <c r="AF37" s="413"/>
      <c r="AG37" s="422"/>
      <c r="AH37" s="422">
        <f t="shared" si="3"/>
        <v>20605667</v>
      </c>
      <c r="AI37" s="413"/>
      <c r="AJ37" s="335">
        <v>595638</v>
      </c>
      <c r="AK37" s="334" t="s">
        <v>77</v>
      </c>
      <c r="AL37" s="121"/>
      <c r="AM37" s="165"/>
      <c r="AN37" s="163"/>
      <c r="AO37" s="147"/>
      <c r="AP37" s="102"/>
      <c r="AQ37" s="102"/>
      <c r="AR37" s="102"/>
      <c r="AS37" s="147"/>
      <c r="AT37" s="164"/>
      <c r="AU37" s="164"/>
      <c r="AV37" s="78"/>
      <c r="AW37" s="78"/>
      <c r="AX37" s="78"/>
      <c r="AY37" s="78"/>
      <c r="AZ37" s="78"/>
      <c r="BA37" s="78"/>
      <c r="BB37" s="78"/>
      <c r="BC37" s="78"/>
      <c r="BD37" s="78"/>
    </row>
    <row r="38" spans="1:56" ht="20.25" customHeight="1" x14ac:dyDescent="0.3">
      <c r="A38" s="412" t="s">
        <v>152</v>
      </c>
      <c r="B38" s="413" t="s">
        <v>71</v>
      </c>
      <c r="C38" s="414" t="s">
        <v>347</v>
      </c>
      <c r="D38" s="415" t="s">
        <v>210</v>
      </c>
      <c r="E38" s="436" t="s">
        <v>340</v>
      </c>
      <c r="F38" s="430">
        <v>4.68</v>
      </c>
      <c r="G38" s="450"/>
      <c r="H38" s="440"/>
      <c r="I38" s="419"/>
      <c r="J38" s="420">
        <v>25</v>
      </c>
      <c r="K38" s="421">
        <f t="shared" si="22"/>
        <v>1.17</v>
      </c>
      <c r="L38" s="421">
        <f t="shared" si="7"/>
        <v>5.85</v>
      </c>
      <c r="M38" s="422">
        <f t="shared" si="8"/>
        <v>13689000</v>
      </c>
      <c r="N38" s="423">
        <v>0.5</v>
      </c>
      <c r="O38" s="424">
        <f t="shared" si="9"/>
        <v>2.34</v>
      </c>
      <c r="P38" s="422">
        <f t="shared" si="10"/>
        <v>5475600</v>
      </c>
      <c r="Q38" s="425"/>
      <c r="R38" s="422">
        <f t="shared" si="11"/>
        <v>1170000</v>
      </c>
      <c r="S38" s="426"/>
      <c r="T38" s="422">
        <f t="shared" si="12"/>
        <v>0</v>
      </c>
      <c r="U38" s="426"/>
      <c r="V38" s="427">
        <f t="shared" si="13"/>
        <v>0</v>
      </c>
      <c r="W38" s="427"/>
      <c r="X38" s="422">
        <f t="shared" si="14"/>
        <v>2327130</v>
      </c>
      <c r="Y38" s="422">
        <f t="shared" si="15"/>
        <v>1095120</v>
      </c>
      <c r="Z38" s="422">
        <f t="shared" si="16"/>
        <v>68445</v>
      </c>
      <c r="AA38" s="422">
        <f t="shared" si="17"/>
        <v>410670</v>
      </c>
      <c r="AB38" s="422">
        <f t="shared" si="18"/>
        <v>205335</v>
      </c>
      <c r="AC38" s="422">
        <f t="shared" si="19"/>
        <v>136890</v>
      </c>
      <c r="AD38" s="422">
        <f t="shared" si="20"/>
        <v>136890</v>
      </c>
      <c r="AE38" s="422">
        <f t="shared" si="21"/>
        <v>273780</v>
      </c>
      <c r="AF38" s="413"/>
      <c r="AG38" s="422"/>
      <c r="AH38" s="422">
        <f t="shared" si="3"/>
        <v>18897255</v>
      </c>
      <c r="AI38" s="413"/>
      <c r="AJ38" s="335">
        <v>436579</v>
      </c>
      <c r="AK38" s="334" t="s">
        <v>71</v>
      </c>
      <c r="AL38" s="121"/>
      <c r="AM38" s="165"/>
      <c r="AN38" s="163"/>
      <c r="AO38" s="162"/>
      <c r="AP38" s="162"/>
      <c r="AQ38" s="162"/>
      <c r="AR38" s="162"/>
      <c r="AS38" s="102"/>
      <c r="AT38" s="164"/>
      <c r="AU38" s="164"/>
      <c r="AV38" s="78"/>
      <c r="AW38" s="78"/>
      <c r="AX38" s="78"/>
      <c r="AY38" s="78"/>
      <c r="AZ38" s="78"/>
      <c r="BA38" s="78"/>
      <c r="BB38" s="78"/>
      <c r="BC38" s="78"/>
      <c r="BD38" s="78"/>
    </row>
    <row r="39" spans="1:56" ht="20.25" customHeight="1" x14ac:dyDescent="0.3">
      <c r="A39" s="412" t="s">
        <v>153</v>
      </c>
      <c r="B39" s="413" t="s">
        <v>72</v>
      </c>
      <c r="C39" s="414" t="s">
        <v>347</v>
      </c>
      <c r="D39" s="433" t="s">
        <v>196</v>
      </c>
      <c r="E39" s="434" t="s">
        <v>328</v>
      </c>
      <c r="F39" s="430">
        <v>4.34</v>
      </c>
      <c r="G39" s="451">
        <v>0.15</v>
      </c>
      <c r="H39" s="440"/>
      <c r="I39" s="419"/>
      <c r="J39" s="420">
        <v>24</v>
      </c>
      <c r="K39" s="421">
        <f t="shared" si="22"/>
        <v>1.0775999999999999</v>
      </c>
      <c r="L39" s="421">
        <f t="shared" si="7"/>
        <v>5.5676000000000005</v>
      </c>
      <c r="M39" s="422">
        <f t="shared" si="8"/>
        <v>13028184</v>
      </c>
      <c r="N39" s="423">
        <v>0.5</v>
      </c>
      <c r="O39" s="424">
        <f t="shared" si="9"/>
        <v>2.2450000000000001</v>
      </c>
      <c r="P39" s="422">
        <f t="shared" si="10"/>
        <v>5253300</v>
      </c>
      <c r="Q39" s="425"/>
      <c r="R39" s="422">
        <f t="shared" si="11"/>
        <v>1170000</v>
      </c>
      <c r="S39" s="426"/>
      <c r="T39" s="422">
        <f t="shared" si="12"/>
        <v>0</v>
      </c>
      <c r="U39" s="426"/>
      <c r="V39" s="427">
        <f t="shared" si="13"/>
        <v>0</v>
      </c>
      <c r="W39" s="427"/>
      <c r="X39" s="422">
        <f t="shared" si="14"/>
        <v>2214791</v>
      </c>
      <c r="Y39" s="422">
        <f t="shared" si="15"/>
        <v>1042255</v>
      </c>
      <c r="Z39" s="422">
        <f t="shared" si="16"/>
        <v>65141</v>
      </c>
      <c r="AA39" s="422">
        <f t="shared" si="17"/>
        <v>390846</v>
      </c>
      <c r="AB39" s="422">
        <f t="shared" si="18"/>
        <v>195423</v>
      </c>
      <c r="AC39" s="422">
        <f t="shared" si="19"/>
        <v>130282</v>
      </c>
      <c r="AD39" s="422">
        <f t="shared" si="20"/>
        <v>130282</v>
      </c>
      <c r="AE39" s="422">
        <f t="shared" si="21"/>
        <v>260564</v>
      </c>
      <c r="AF39" s="413"/>
      <c r="AG39" s="422"/>
      <c r="AH39" s="422">
        <f t="shared" si="3"/>
        <v>18083524</v>
      </c>
      <c r="AI39" s="413"/>
      <c r="AJ39" s="335">
        <v>289442</v>
      </c>
      <c r="AK39" s="334" t="s">
        <v>358</v>
      </c>
      <c r="AL39" s="121"/>
      <c r="AM39" s="165"/>
      <c r="AN39" s="163"/>
      <c r="AO39" s="162"/>
      <c r="AP39" s="162"/>
      <c r="AQ39" s="162"/>
      <c r="AR39" s="162"/>
      <c r="AS39" s="102"/>
      <c r="AT39" s="164"/>
      <c r="AU39" s="164"/>
      <c r="AV39" s="78"/>
      <c r="AX39" s="78"/>
      <c r="AY39" s="78"/>
    </row>
    <row r="40" spans="1:56" ht="20.25" customHeight="1" x14ac:dyDescent="0.3">
      <c r="A40" s="412" t="s">
        <v>154</v>
      </c>
      <c r="B40" s="413" t="s">
        <v>12</v>
      </c>
      <c r="C40" s="425" t="s">
        <v>13</v>
      </c>
      <c r="D40" s="433" t="s">
        <v>206</v>
      </c>
      <c r="E40" s="436" t="s">
        <v>278</v>
      </c>
      <c r="F40" s="430">
        <v>2.72</v>
      </c>
      <c r="G40" s="430"/>
      <c r="H40" s="443"/>
      <c r="I40" s="443"/>
      <c r="J40" s="425"/>
      <c r="K40" s="421">
        <f t="shared" si="22"/>
        <v>0</v>
      </c>
      <c r="L40" s="421">
        <f t="shared" si="7"/>
        <v>2.72</v>
      </c>
      <c r="M40" s="422">
        <f t="shared" si="8"/>
        <v>6364800</v>
      </c>
      <c r="N40" s="446">
        <v>0</v>
      </c>
      <c r="O40" s="424">
        <f t="shared" si="9"/>
        <v>0</v>
      </c>
      <c r="P40" s="422">
        <f t="shared" si="10"/>
        <v>0</v>
      </c>
      <c r="Q40" s="425"/>
      <c r="R40" s="422">
        <f t="shared" si="11"/>
        <v>1170000</v>
      </c>
      <c r="S40" s="426"/>
      <c r="T40" s="422">
        <f t="shared" si="12"/>
        <v>0</v>
      </c>
      <c r="U40" s="426">
        <v>0.2</v>
      </c>
      <c r="V40" s="427">
        <f t="shared" si="13"/>
        <v>468000</v>
      </c>
      <c r="W40" s="427"/>
      <c r="X40" s="422">
        <f t="shared" si="14"/>
        <v>1082016</v>
      </c>
      <c r="Y40" s="422">
        <f t="shared" si="15"/>
        <v>509184</v>
      </c>
      <c r="Z40" s="422">
        <f t="shared" si="16"/>
        <v>31824</v>
      </c>
      <c r="AA40" s="422">
        <f t="shared" si="17"/>
        <v>190944</v>
      </c>
      <c r="AB40" s="422">
        <f t="shared" si="18"/>
        <v>95472</v>
      </c>
      <c r="AC40" s="422">
        <f t="shared" si="19"/>
        <v>63648</v>
      </c>
      <c r="AD40" s="422">
        <f t="shared" si="20"/>
        <v>63648</v>
      </c>
      <c r="AE40" s="422">
        <f t="shared" si="21"/>
        <v>127296</v>
      </c>
      <c r="AF40" s="413"/>
      <c r="AG40" s="422"/>
      <c r="AH40" s="422">
        <f t="shared" si="3"/>
        <v>7334496</v>
      </c>
      <c r="AI40" s="413"/>
      <c r="AJ40" s="335"/>
      <c r="AK40" s="336"/>
      <c r="AL40" s="121"/>
      <c r="AM40" s="165"/>
      <c r="AN40" s="163"/>
      <c r="AO40" s="162"/>
      <c r="AP40" s="162"/>
      <c r="AQ40" s="162"/>
      <c r="AR40" s="162"/>
      <c r="AS40" s="102"/>
      <c r="AT40" s="164"/>
      <c r="AU40" s="164"/>
      <c r="BA40" s="122"/>
      <c r="BB40" s="122"/>
    </row>
    <row r="41" spans="1:56" ht="20.25" customHeight="1" x14ac:dyDescent="0.3">
      <c r="A41" s="412" t="s">
        <v>155</v>
      </c>
      <c r="B41" s="452" t="s">
        <v>96</v>
      </c>
      <c r="C41" s="414" t="s">
        <v>347</v>
      </c>
      <c r="D41" s="428" t="s">
        <v>207</v>
      </c>
      <c r="E41" s="429" t="s">
        <v>341</v>
      </c>
      <c r="F41" s="453">
        <v>4.68</v>
      </c>
      <c r="G41" s="453">
        <v>0.2</v>
      </c>
      <c r="H41" s="454"/>
      <c r="I41" s="455"/>
      <c r="J41" s="456" t="s">
        <v>145</v>
      </c>
      <c r="K41" s="421">
        <f t="shared" si="22"/>
        <v>1.1224000000000001</v>
      </c>
      <c r="L41" s="421">
        <f t="shared" si="7"/>
        <v>6.0023999999999997</v>
      </c>
      <c r="M41" s="422">
        <f t="shared" si="8"/>
        <v>14045616</v>
      </c>
      <c r="N41" s="423">
        <v>0.5</v>
      </c>
      <c r="O41" s="424">
        <f t="shared" si="9"/>
        <v>2.44</v>
      </c>
      <c r="P41" s="422">
        <f t="shared" si="10"/>
        <v>5709600</v>
      </c>
      <c r="Q41" s="425"/>
      <c r="R41" s="422">
        <f t="shared" si="11"/>
        <v>1170000</v>
      </c>
      <c r="S41" s="457"/>
      <c r="T41" s="422">
        <f t="shared" si="12"/>
        <v>0</v>
      </c>
      <c r="U41" s="457"/>
      <c r="V41" s="427">
        <f t="shared" si="13"/>
        <v>0</v>
      </c>
      <c r="W41" s="427"/>
      <c r="X41" s="422">
        <f t="shared" si="14"/>
        <v>2387755</v>
      </c>
      <c r="Y41" s="422">
        <f t="shared" si="15"/>
        <v>1123649</v>
      </c>
      <c r="Z41" s="422">
        <f t="shared" si="16"/>
        <v>70228</v>
      </c>
      <c r="AA41" s="422">
        <f t="shared" si="17"/>
        <v>421368</v>
      </c>
      <c r="AB41" s="422">
        <f t="shared" si="18"/>
        <v>210684</v>
      </c>
      <c r="AC41" s="422">
        <f t="shared" si="19"/>
        <v>140456</v>
      </c>
      <c r="AD41" s="422">
        <f t="shared" si="20"/>
        <v>140456</v>
      </c>
      <c r="AE41" s="422">
        <f t="shared" si="21"/>
        <v>280912</v>
      </c>
      <c r="AF41" s="413"/>
      <c r="AG41" s="422"/>
      <c r="AH41" s="422">
        <f t="shared" si="3"/>
        <v>19450427</v>
      </c>
      <c r="AI41" s="443"/>
      <c r="AJ41" s="335">
        <v>431747</v>
      </c>
      <c r="AK41" s="334" t="s">
        <v>96</v>
      </c>
      <c r="AL41" s="121"/>
      <c r="AM41" s="160"/>
      <c r="AN41" s="138"/>
      <c r="AO41" s="102"/>
      <c r="AP41" s="102"/>
      <c r="AQ41" s="102"/>
      <c r="AR41" s="102"/>
      <c r="AS41" s="102"/>
      <c r="AT41" s="164"/>
      <c r="AU41" s="164"/>
      <c r="BA41" s="122"/>
      <c r="BB41" s="122"/>
    </row>
    <row r="42" spans="1:56" ht="20.25" customHeight="1" x14ac:dyDescent="0.3">
      <c r="A42" s="412" t="s">
        <v>156</v>
      </c>
      <c r="B42" s="458" t="s">
        <v>98</v>
      </c>
      <c r="C42" s="414" t="s">
        <v>347</v>
      </c>
      <c r="D42" s="428" t="s">
        <v>207</v>
      </c>
      <c r="E42" s="429" t="s">
        <v>342</v>
      </c>
      <c r="F42" s="453">
        <v>5.0199999999999996</v>
      </c>
      <c r="G42" s="453">
        <v>0.2</v>
      </c>
      <c r="H42" s="459"/>
      <c r="I42" s="460"/>
      <c r="J42" s="456" t="s">
        <v>146</v>
      </c>
      <c r="K42" s="421">
        <f t="shared" si="22"/>
        <v>1.2527999999999999</v>
      </c>
      <c r="L42" s="421">
        <f t="shared" si="7"/>
        <v>6.4727999999999994</v>
      </c>
      <c r="M42" s="422">
        <f t="shared" si="8"/>
        <v>15146352</v>
      </c>
      <c r="N42" s="423">
        <v>0.5</v>
      </c>
      <c r="O42" s="424">
        <f t="shared" si="9"/>
        <v>2.61</v>
      </c>
      <c r="P42" s="422">
        <f t="shared" si="10"/>
        <v>6107400</v>
      </c>
      <c r="Q42" s="425"/>
      <c r="R42" s="422">
        <f t="shared" si="11"/>
        <v>1170000</v>
      </c>
      <c r="S42" s="457"/>
      <c r="T42" s="422">
        <f t="shared" si="12"/>
        <v>0</v>
      </c>
      <c r="U42" s="457"/>
      <c r="V42" s="427">
        <f t="shared" si="13"/>
        <v>0</v>
      </c>
      <c r="W42" s="427"/>
      <c r="X42" s="422">
        <f t="shared" si="14"/>
        <v>2574880</v>
      </c>
      <c r="Y42" s="422">
        <f t="shared" si="15"/>
        <v>1211708</v>
      </c>
      <c r="Z42" s="422">
        <f t="shared" si="16"/>
        <v>75732</v>
      </c>
      <c r="AA42" s="422">
        <f t="shared" si="17"/>
        <v>454391</v>
      </c>
      <c r="AB42" s="422">
        <f t="shared" si="18"/>
        <v>227195</v>
      </c>
      <c r="AC42" s="422">
        <f t="shared" si="19"/>
        <v>151464</v>
      </c>
      <c r="AD42" s="422">
        <f t="shared" si="20"/>
        <v>151464</v>
      </c>
      <c r="AE42" s="422">
        <f t="shared" si="21"/>
        <v>302927</v>
      </c>
      <c r="AF42" s="413"/>
      <c r="AG42" s="422"/>
      <c r="AH42" s="422">
        <f t="shared" si="3"/>
        <v>20833385</v>
      </c>
      <c r="AI42" s="443"/>
      <c r="AJ42" s="335">
        <v>578883</v>
      </c>
      <c r="AK42" s="334" t="s">
        <v>98</v>
      </c>
      <c r="AL42" s="121"/>
      <c r="AM42" s="160"/>
      <c r="AN42" s="138"/>
      <c r="AO42" s="102"/>
      <c r="AP42" s="102"/>
      <c r="AQ42" s="102"/>
      <c r="AR42" s="102"/>
      <c r="AS42" s="102"/>
      <c r="AT42" s="172"/>
      <c r="AU42" s="172"/>
      <c r="BA42" s="122"/>
      <c r="BB42" s="122"/>
    </row>
    <row r="43" spans="1:56" ht="20.25" customHeight="1" x14ac:dyDescent="0.3">
      <c r="A43" s="412" t="s">
        <v>157</v>
      </c>
      <c r="B43" s="458" t="s">
        <v>100</v>
      </c>
      <c r="C43" s="414" t="s">
        <v>347</v>
      </c>
      <c r="D43" s="428" t="s">
        <v>196</v>
      </c>
      <c r="E43" s="429" t="s">
        <v>335</v>
      </c>
      <c r="F43" s="453">
        <v>4.34</v>
      </c>
      <c r="G43" s="453"/>
      <c r="H43" s="459"/>
      <c r="I43" s="460"/>
      <c r="J43" s="456" t="s">
        <v>146</v>
      </c>
      <c r="K43" s="421">
        <f t="shared" si="22"/>
        <v>1.0416000000000001</v>
      </c>
      <c r="L43" s="421">
        <f t="shared" si="7"/>
        <v>5.3815999999999997</v>
      </c>
      <c r="M43" s="422">
        <f t="shared" si="8"/>
        <v>12592944</v>
      </c>
      <c r="N43" s="423">
        <v>0.5</v>
      </c>
      <c r="O43" s="424">
        <f t="shared" si="9"/>
        <v>2.17</v>
      </c>
      <c r="P43" s="422">
        <f t="shared" si="10"/>
        <v>5077800</v>
      </c>
      <c r="Q43" s="425"/>
      <c r="R43" s="422">
        <f t="shared" si="11"/>
        <v>1170000</v>
      </c>
      <c r="S43" s="457"/>
      <c r="T43" s="422">
        <f t="shared" si="12"/>
        <v>0</v>
      </c>
      <c r="U43" s="457"/>
      <c r="V43" s="427">
        <f t="shared" si="13"/>
        <v>0</v>
      </c>
      <c r="W43" s="427"/>
      <c r="X43" s="422">
        <f t="shared" si="14"/>
        <v>2140800</v>
      </c>
      <c r="Y43" s="422">
        <f t="shared" si="15"/>
        <v>1007436</v>
      </c>
      <c r="Z43" s="422">
        <f t="shared" si="16"/>
        <v>62965</v>
      </c>
      <c r="AA43" s="422">
        <f t="shared" si="17"/>
        <v>377788</v>
      </c>
      <c r="AB43" s="422">
        <f t="shared" si="18"/>
        <v>188894</v>
      </c>
      <c r="AC43" s="422">
        <f t="shared" si="19"/>
        <v>125929</v>
      </c>
      <c r="AD43" s="422">
        <f t="shared" si="20"/>
        <v>125929</v>
      </c>
      <c r="AE43" s="422">
        <f t="shared" si="21"/>
        <v>251859</v>
      </c>
      <c r="AF43" s="413"/>
      <c r="AG43" s="422"/>
      <c r="AH43" s="422">
        <f t="shared" si="3"/>
        <v>17518485</v>
      </c>
      <c r="AI43" s="443"/>
      <c r="AJ43" s="335">
        <v>289442</v>
      </c>
      <c r="AK43" s="334" t="s">
        <v>100</v>
      </c>
      <c r="AL43" s="121"/>
      <c r="AM43" s="160"/>
      <c r="AN43" s="161"/>
      <c r="AO43" s="147"/>
      <c r="AP43" s="102"/>
      <c r="AQ43" s="102"/>
      <c r="AR43" s="102"/>
      <c r="AS43" s="147"/>
      <c r="AT43" s="102"/>
      <c r="AU43" s="102"/>
      <c r="BA43" s="122"/>
      <c r="BB43" s="122"/>
    </row>
    <row r="44" spans="1:56" ht="20.25" customHeight="1" x14ac:dyDescent="0.3">
      <c r="A44" s="412" t="s">
        <v>158</v>
      </c>
      <c r="B44" s="458" t="s">
        <v>216</v>
      </c>
      <c r="C44" s="414" t="s">
        <v>346</v>
      </c>
      <c r="D44" s="428" t="s">
        <v>209</v>
      </c>
      <c r="E44" s="429" t="s">
        <v>348</v>
      </c>
      <c r="F44" s="453">
        <v>3.66</v>
      </c>
      <c r="G44" s="453">
        <v>0.15</v>
      </c>
      <c r="H44" s="459"/>
      <c r="I44" s="460"/>
      <c r="J44" s="456" t="s">
        <v>142</v>
      </c>
      <c r="K44" s="421">
        <f t="shared" si="22"/>
        <v>0.53339999999999999</v>
      </c>
      <c r="L44" s="421">
        <f t="shared" si="7"/>
        <v>4.3433999999999999</v>
      </c>
      <c r="M44" s="422">
        <f t="shared" si="8"/>
        <v>10163556</v>
      </c>
      <c r="N44" s="423">
        <v>0.5</v>
      </c>
      <c r="O44" s="424">
        <f t="shared" si="9"/>
        <v>1.905</v>
      </c>
      <c r="P44" s="422">
        <f t="shared" si="10"/>
        <v>4457700</v>
      </c>
      <c r="Q44" s="425"/>
      <c r="R44" s="422">
        <f t="shared" si="11"/>
        <v>1170000</v>
      </c>
      <c r="S44" s="457"/>
      <c r="T44" s="422">
        <f t="shared" si="12"/>
        <v>0</v>
      </c>
      <c r="U44" s="457"/>
      <c r="V44" s="427">
        <f t="shared" si="13"/>
        <v>0</v>
      </c>
      <c r="W44" s="427"/>
      <c r="X44" s="422">
        <f t="shared" si="14"/>
        <v>1727805</v>
      </c>
      <c r="Y44" s="422">
        <f t="shared" si="15"/>
        <v>813084</v>
      </c>
      <c r="Z44" s="422">
        <f t="shared" si="16"/>
        <v>50818</v>
      </c>
      <c r="AA44" s="422">
        <f t="shared" si="17"/>
        <v>304907</v>
      </c>
      <c r="AB44" s="422">
        <f t="shared" si="18"/>
        <v>152453</v>
      </c>
      <c r="AC44" s="422">
        <f t="shared" si="19"/>
        <v>101636</v>
      </c>
      <c r="AD44" s="422">
        <f t="shared" si="20"/>
        <v>101636</v>
      </c>
      <c r="AE44" s="422">
        <f t="shared" si="21"/>
        <v>203271</v>
      </c>
      <c r="AF44" s="413"/>
      <c r="AG44" s="422"/>
      <c r="AH44" s="422">
        <f t="shared" si="3"/>
        <v>14724083</v>
      </c>
      <c r="AI44" s="443"/>
      <c r="AJ44" s="335">
        <v>4373309</v>
      </c>
      <c r="AK44" s="334" t="s">
        <v>353</v>
      </c>
      <c r="AL44" s="121"/>
      <c r="AM44" s="160"/>
      <c r="AN44" s="173"/>
      <c r="AO44" s="173"/>
      <c r="AP44" s="173"/>
      <c r="AQ44" s="173"/>
      <c r="AR44" s="173"/>
      <c r="AS44" s="173"/>
      <c r="AT44" s="173"/>
      <c r="AU44" s="173"/>
      <c r="BA44" s="122"/>
      <c r="BB44" s="122"/>
    </row>
    <row r="45" spans="1:56" ht="20.25" customHeight="1" x14ac:dyDescent="0.3">
      <c r="A45" s="412" t="s">
        <v>159</v>
      </c>
      <c r="B45" s="458" t="s">
        <v>102</v>
      </c>
      <c r="C45" s="414" t="s">
        <v>347</v>
      </c>
      <c r="D45" s="428" t="s">
        <v>218</v>
      </c>
      <c r="E45" s="429" t="s">
        <v>325</v>
      </c>
      <c r="F45" s="453">
        <v>5.0199999999999996</v>
      </c>
      <c r="G45" s="453"/>
      <c r="H45" s="459"/>
      <c r="I45" s="461"/>
      <c r="J45" s="456" t="s">
        <v>91</v>
      </c>
      <c r="K45" s="421">
        <f t="shared" si="22"/>
        <v>1.0542</v>
      </c>
      <c r="L45" s="421">
        <f t="shared" si="7"/>
        <v>6.0741999999999994</v>
      </c>
      <c r="M45" s="422">
        <f t="shared" si="8"/>
        <v>14213628</v>
      </c>
      <c r="N45" s="423">
        <v>0.5</v>
      </c>
      <c r="O45" s="424">
        <f t="shared" si="9"/>
        <v>2.5099999999999998</v>
      </c>
      <c r="P45" s="422">
        <f t="shared" si="10"/>
        <v>5873400</v>
      </c>
      <c r="Q45" s="425"/>
      <c r="R45" s="422">
        <f t="shared" si="11"/>
        <v>1170000</v>
      </c>
      <c r="S45" s="457"/>
      <c r="T45" s="422">
        <f t="shared" si="12"/>
        <v>0</v>
      </c>
      <c r="U45" s="457"/>
      <c r="V45" s="427">
        <f t="shared" si="13"/>
        <v>0</v>
      </c>
      <c r="W45" s="427"/>
      <c r="X45" s="422">
        <f t="shared" si="14"/>
        <v>2416317</v>
      </c>
      <c r="Y45" s="422">
        <f t="shared" si="15"/>
        <v>1137090</v>
      </c>
      <c r="Z45" s="422">
        <f t="shared" si="16"/>
        <v>71068</v>
      </c>
      <c r="AA45" s="422">
        <f t="shared" si="17"/>
        <v>426409</v>
      </c>
      <c r="AB45" s="422">
        <f t="shared" si="18"/>
        <v>213204</v>
      </c>
      <c r="AC45" s="422">
        <f t="shared" si="19"/>
        <v>142136</v>
      </c>
      <c r="AD45" s="422">
        <f t="shared" si="20"/>
        <v>142136</v>
      </c>
      <c r="AE45" s="422">
        <f t="shared" si="21"/>
        <v>284273</v>
      </c>
      <c r="AF45" s="413"/>
      <c r="AG45" s="422"/>
      <c r="AH45" s="422">
        <f t="shared" si="3"/>
        <v>19764598</v>
      </c>
      <c r="AI45" s="443"/>
      <c r="AJ45" s="335">
        <v>569862</v>
      </c>
      <c r="AK45" s="334" t="s">
        <v>102</v>
      </c>
      <c r="AL45" s="121"/>
      <c r="AM45" s="160"/>
      <c r="AN45" s="161"/>
      <c r="AO45" s="102"/>
      <c r="AP45" s="162"/>
      <c r="AQ45" s="162"/>
      <c r="AR45" s="162"/>
      <c r="AS45" s="162"/>
      <c r="AT45" s="102"/>
      <c r="AU45" s="102"/>
      <c r="BA45" s="122"/>
      <c r="BB45" s="122"/>
    </row>
    <row r="46" spans="1:56" ht="20.25" customHeight="1" x14ac:dyDescent="0.3">
      <c r="A46" s="412" t="s">
        <v>160</v>
      </c>
      <c r="B46" s="452" t="s">
        <v>104</v>
      </c>
      <c r="C46" s="414" t="s">
        <v>347</v>
      </c>
      <c r="D46" s="428" t="s">
        <v>212</v>
      </c>
      <c r="E46" s="429" t="s">
        <v>348</v>
      </c>
      <c r="F46" s="453">
        <v>4</v>
      </c>
      <c r="G46" s="453">
        <v>0.15</v>
      </c>
      <c r="H46" s="462"/>
      <c r="I46" s="462"/>
      <c r="J46" s="456" t="s">
        <v>101</v>
      </c>
      <c r="K46" s="421">
        <f t="shared" si="22"/>
        <v>0.66400000000000003</v>
      </c>
      <c r="L46" s="421">
        <f t="shared" si="7"/>
        <v>4.8140000000000001</v>
      </c>
      <c r="M46" s="422">
        <f t="shared" si="8"/>
        <v>11264760</v>
      </c>
      <c r="N46" s="423">
        <v>0.5</v>
      </c>
      <c r="O46" s="424">
        <f t="shared" si="9"/>
        <v>2.0750000000000002</v>
      </c>
      <c r="P46" s="422">
        <f t="shared" si="10"/>
        <v>4855500</v>
      </c>
      <c r="Q46" s="425"/>
      <c r="R46" s="422">
        <f t="shared" si="11"/>
        <v>1170000</v>
      </c>
      <c r="S46" s="457"/>
      <c r="T46" s="422">
        <f t="shared" si="12"/>
        <v>0</v>
      </c>
      <c r="U46" s="457"/>
      <c r="V46" s="427">
        <f t="shared" si="13"/>
        <v>0</v>
      </c>
      <c r="W46" s="427"/>
      <c r="X46" s="422">
        <f t="shared" si="14"/>
        <v>1915009</v>
      </c>
      <c r="Y46" s="422">
        <f t="shared" si="15"/>
        <v>901181</v>
      </c>
      <c r="Z46" s="422">
        <f t="shared" si="16"/>
        <v>56324</v>
      </c>
      <c r="AA46" s="422">
        <f t="shared" si="17"/>
        <v>337943</v>
      </c>
      <c r="AB46" s="422">
        <f t="shared" si="18"/>
        <v>168971</v>
      </c>
      <c r="AC46" s="422">
        <f t="shared" si="19"/>
        <v>112648</v>
      </c>
      <c r="AD46" s="422">
        <f t="shared" si="20"/>
        <v>112648</v>
      </c>
      <c r="AE46" s="422">
        <f t="shared" si="21"/>
        <v>225295</v>
      </c>
      <c r="AF46" s="413"/>
      <c r="AG46" s="422"/>
      <c r="AH46" s="422">
        <f t="shared" si="3"/>
        <v>16107460</v>
      </c>
      <c r="AI46" s="443"/>
      <c r="AJ46" s="335">
        <v>4701415</v>
      </c>
      <c r="AK46" s="334" t="s">
        <v>104</v>
      </c>
      <c r="AL46" s="121"/>
      <c r="AM46" s="160"/>
      <c r="AN46" s="138"/>
      <c r="AO46" s="102"/>
      <c r="AP46" s="102"/>
      <c r="AQ46" s="102"/>
      <c r="AR46" s="102"/>
      <c r="AS46" s="102"/>
      <c r="AT46" s="138"/>
      <c r="AU46" s="138"/>
      <c r="AW46" s="148">
        <v>1</v>
      </c>
      <c r="BA46" s="122"/>
      <c r="BB46" s="122"/>
    </row>
    <row r="47" spans="1:56" ht="20.25" customHeight="1" x14ac:dyDescent="0.3">
      <c r="A47" s="412" t="s">
        <v>161</v>
      </c>
      <c r="B47" s="458" t="s">
        <v>107</v>
      </c>
      <c r="C47" s="414" t="s">
        <v>346</v>
      </c>
      <c r="D47" s="433" t="s">
        <v>209</v>
      </c>
      <c r="E47" s="436" t="s">
        <v>335</v>
      </c>
      <c r="F47" s="453">
        <v>3.33</v>
      </c>
      <c r="G47" s="453">
        <v>0.15</v>
      </c>
      <c r="H47" s="459"/>
      <c r="I47" s="460"/>
      <c r="J47" s="456" t="s">
        <v>142</v>
      </c>
      <c r="K47" s="421">
        <f t="shared" si="22"/>
        <v>0.48720000000000002</v>
      </c>
      <c r="L47" s="421">
        <f t="shared" si="7"/>
        <v>3.9672000000000001</v>
      </c>
      <c r="M47" s="422">
        <f t="shared" si="8"/>
        <v>9283248</v>
      </c>
      <c r="N47" s="423">
        <v>0.5</v>
      </c>
      <c r="O47" s="424">
        <f t="shared" si="9"/>
        <v>1.74</v>
      </c>
      <c r="P47" s="422">
        <f t="shared" si="10"/>
        <v>4071600</v>
      </c>
      <c r="Q47" s="425"/>
      <c r="R47" s="422">
        <f t="shared" si="11"/>
        <v>1170000</v>
      </c>
      <c r="S47" s="457"/>
      <c r="T47" s="422">
        <f t="shared" si="12"/>
        <v>0</v>
      </c>
      <c r="U47" s="457"/>
      <c r="V47" s="427">
        <f t="shared" si="13"/>
        <v>0</v>
      </c>
      <c r="W47" s="427"/>
      <c r="X47" s="422">
        <f t="shared" si="14"/>
        <v>1578152</v>
      </c>
      <c r="Y47" s="422">
        <f t="shared" si="15"/>
        <v>742660</v>
      </c>
      <c r="Z47" s="422">
        <f t="shared" si="16"/>
        <v>46416</v>
      </c>
      <c r="AA47" s="422">
        <f t="shared" si="17"/>
        <v>278497</v>
      </c>
      <c r="AB47" s="422">
        <f t="shared" si="18"/>
        <v>139249</v>
      </c>
      <c r="AC47" s="422">
        <f t="shared" si="19"/>
        <v>92832</v>
      </c>
      <c r="AD47" s="422">
        <f t="shared" si="20"/>
        <v>92832</v>
      </c>
      <c r="AE47" s="422">
        <f t="shared" si="21"/>
        <v>185665</v>
      </c>
      <c r="AF47" s="413"/>
      <c r="AG47" s="422"/>
      <c r="AH47" s="422">
        <f t="shared" si="3"/>
        <v>13550107</v>
      </c>
      <c r="AI47" s="443"/>
      <c r="AJ47" s="335">
        <v>956661</v>
      </c>
      <c r="AK47" s="334" t="s">
        <v>107</v>
      </c>
      <c r="AL47" s="121"/>
      <c r="AM47" s="160"/>
      <c r="AN47" s="163"/>
      <c r="AO47" s="147"/>
      <c r="AP47" s="147"/>
      <c r="AQ47" s="102"/>
      <c r="AR47" s="102"/>
      <c r="AS47" s="147"/>
      <c r="AT47" s="164"/>
      <c r="AU47" s="164"/>
      <c r="AW47" s="127" t="e">
        <f>#REF!*310000</f>
        <v>#REF!</v>
      </c>
      <c r="BA47" s="122"/>
      <c r="BB47" s="122"/>
    </row>
    <row r="48" spans="1:56" ht="20.25" customHeight="1" x14ac:dyDescent="0.3">
      <c r="A48" s="412" t="s">
        <v>162</v>
      </c>
      <c r="B48" s="452" t="s">
        <v>110</v>
      </c>
      <c r="C48" s="414" t="s">
        <v>346</v>
      </c>
      <c r="D48" s="428" t="s">
        <v>211</v>
      </c>
      <c r="E48" s="429" t="s">
        <v>292</v>
      </c>
      <c r="F48" s="453">
        <v>3.33</v>
      </c>
      <c r="G48" s="453"/>
      <c r="H48" s="454"/>
      <c r="I48" s="455"/>
      <c r="J48" s="456" t="s">
        <v>108</v>
      </c>
      <c r="K48" s="421">
        <f t="shared" si="22"/>
        <v>0.33300000000000002</v>
      </c>
      <c r="L48" s="421">
        <f t="shared" si="7"/>
        <v>3.6630000000000003</v>
      </c>
      <c r="M48" s="422">
        <f t="shared" si="8"/>
        <v>8571420</v>
      </c>
      <c r="N48" s="423">
        <v>0.5</v>
      </c>
      <c r="O48" s="424">
        <f t="shared" si="9"/>
        <v>1.665</v>
      </c>
      <c r="P48" s="422">
        <f t="shared" si="10"/>
        <v>3896100</v>
      </c>
      <c r="Q48" s="425"/>
      <c r="R48" s="422">
        <f t="shared" si="11"/>
        <v>1170000</v>
      </c>
      <c r="S48" s="457"/>
      <c r="T48" s="422">
        <f t="shared" si="12"/>
        <v>0</v>
      </c>
      <c r="U48" s="457"/>
      <c r="V48" s="427">
        <f t="shared" si="13"/>
        <v>0</v>
      </c>
      <c r="W48" s="427"/>
      <c r="X48" s="422">
        <f t="shared" si="14"/>
        <v>1457141</v>
      </c>
      <c r="Y48" s="422">
        <f t="shared" si="15"/>
        <v>685714</v>
      </c>
      <c r="Z48" s="422">
        <f t="shared" si="16"/>
        <v>42857</v>
      </c>
      <c r="AA48" s="422">
        <f t="shared" si="17"/>
        <v>257143</v>
      </c>
      <c r="AB48" s="422">
        <f t="shared" si="18"/>
        <v>128571</v>
      </c>
      <c r="AC48" s="422">
        <f t="shared" si="19"/>
        <v>85714</v>
      </c>
      <c r="AD48" s="422">
        <f t="shared" si="20"/>
        <v>85714</v>
      </c>
      <c r="AE48" s="422">
        <f t="shared" si="21"/>
        <v>171428</v>
      </c>
      <c r="AF48" s="413"/>
      <c r="AG48" s="422"/>
      <c r="AH48" s="422">
        <f t="shared" si="3"/>
        <v>12737521</v>
      </c>
      <c r="AI48" s="443"/>
      <c r="AJ48" s="335">
        <v>4008150</v>
      </c>
      <c r="AK48" s="334" t="s">
        <v>356</v>
      </c>
      <c r="AL48" s="121"/>
      <c r="AM48" s="160"/>
      <c r="AN48" s="163"/>
      <c r="AO48" s="147"/>
      <c r="AP48" s="102"/>
      <c r="AQ48" s="102"/>
      <c r="AR48" s="102"/>
      <c r="AS48" s="102"/>
      <c r="AT48" s="164"/>
      <c r="AU48" s="164"/>
      <c r="AW48" s="127" t="e">
        <f>#REF!*310000</f>
        <v>#REF!</v>
      </c>
      <c r="BA48" s="122"/>
      <c r="BB48" s="122"/>
    </row>
    <row r="49" spans="1:57" ht="20.25" customHeight="1" x14ac:dyDescent="0.3">
      <c r="A49" s="412" t="s">
        <v>163</v>
      </c>
      <c r="B49" s="452" t="s">
        <v>112</v>
      </c>
      <c r="C49" s="414" t="s">
        <v>346</v>
      </c>
      <c r="D49" s="428" t="s">
        <v>208</v>
      </c>
      <c r="E49" s="429" t="s">
        <v>349</v>
      </c>
      <c r="F49" s="332"/>
      <c r="G49" s="370"/>
      <c r="H49" s="370"/>
      <c r="I49" s="370" t="s">
        <v>376</v>
      </c>
      <c r="J49" s="371"/>
      <c r="K49" s="372"/>
      <c r="L49" s="372">
        <v>0</v>
      </c>
      <c r="M49" s="422">
        <f t="shared" si="8"/>
        <v>0</v>
      </c>
      <c r="N49" s="423">
        <v>0.5</v>
      </c>
      <c r="O49" s="424">
        <f>(2.67)*N49</f>
        <v>1.335</v>
      </c>
      <c r="P49" s="422">
        <f t="shared" si="10"/>
        <v>3123900</v>
      </c>
      <c r="Q49" s="425">
        <v>0</v>
      </c>
      <c r="R49" s="422">
        <v>0</v>
      </c>
      <c r="S49" s="457"/>
      <c r="T49" s="422">
        <f t="shared" si="12"/>
        <v>0</v>
      </c>
      <c r="U49" s="457"/>
      <c r="V49" s="427">
        <f t="shared" si="13"/>
        <v>0</v>
      </c>
      <c r="W49" s="427"/>
      <c r="X49" s="422">
        <f t="shared" si="14"/>
        <v>0</v>
      </c>
      <c r="Y49" s="422">
        <f t="shared" si="15"/>
        <v>0</v>
      </c>
      <c r="Z49" s="422">
        <f t="shared" si="16"/>
        <v>0</v>
      </c>
      <c r="AA49" s="422">
        <f t="shared" si="17"/>
        <v>0</v>
      </c>
      <c r="AB49" s="422">
        <f t="shared" si="18"/>
        <v>0</v>
      </c>
      <c r="AC49" s="422">
        <f t="shared" si="19"/>
        <v>0</v>
      </c>
      <c r="AD49" s="422">
        <f t="shared" si="20"/>
        <v>0</v>
      </c>
      <c r="AE49" s="422">
        <f t="shared" si="21"/>
        <v>0</v>
      </c>
      <c r="AF49" s="413"/>
      <c r="AG49" s="422"/>
      <c r="AH49" s="422">
        <f t="shared" si="3"/>
        <v>3123900</v>
      </c>
      <c r="AI49" s="443"/>
      <c r="AJ49" s="335">
        <v>2754958</v>
      </c>
      <c r="AK49" s="334" t="s">
        <v>112</v>
      </c>
      <c r="AL49" s="121"/>
      <c r="AM49" s="165"/>
      <c r="AN49" s="163"/>
      <c r="AO49" s="147"/>
      <c r="AP49" s="102"/>
      <c r="AQ49" s="102"/>
      <c r="AR49" s="102"/>
      <c r="AS49" s="147"/>
      <c r="AT49" s="164"/>
      <c r="AU49" s="164"/>
      <c r="AW49" s="333" t="e">
        <f>#REF!*310000</f>
        <v>#REF!</v>
      </c>
      <c r="BA49" s="122"/>
      <c r="BB49" s="122"/>
    </row>
    <row r="50" spans="1:57" ht="20.25" customHeight="1" x14ac:dyDescent="0.3">
      <c r="A50" s="412" t="s">
        <v>164</v>
      </c>
      <c r="B50" s="458" t="s">
        <v>173</v>
      </c>
      <c r="C50" s="463" t="s">
        <v>175</v>
      </c>
      <c r="D50" s="428" t="s">
        <v>200</v>
      </c>
      <c r="E50" s="429" t="s">
        <v>335</v>
      </c>
      <c r="F50" s="453">
        <v>3.66</v>
      </c>
      <c r="G50" s="430"/>
      <c r="H50" s="459"/>
      <c r="I50" s="460"/>
      <c r="J50" s="464"/>
      <c r="K50" s="421">
        <f t="shared" si="22"/>
        <v>0</v>
      </c>
      <c r="L50" s="421">
        <f t="shared" si="7"/>
        <v>3.66</v>
      </c>
      <c r="M50" s="422">
        <f t="shared" si="8"/>
        <v>8564400</v>
      </c>
      <c r="N50" s="423">
        <v>0</v>
      </c>
      <c r="O50" s="424">
        <f t="shared" si="9"/>
        <v>0</v>
      </c>
      <c r="P50" s="422">
        <f t="shared" si="10"/>
        <v>0</v>
      </c>
      <c r="Q50" s="425"/>
      <c r="R50" s="422">
        <f t="shared" si="11"/>
        <v>1170000</v>
      </c>
      <c r="S50" s="457">
        <v>0.1</v>
      </c>
      <c r="T50" s="422">
        <f t="shared" si="12"/>
        <v>234000</v>
      </c>
      <c r="U50" s="457"/>
      <c r="V50" s="427">
        <f t="shared" si="13"/>
        <v>0</v>
      </c>
      <c r="W50" s="427"/>
      <c r="X50" s="422">
        <f t="shared" si="14"/>
        <v>1455948</v>
      </c>
      <c r="Y50" s="422">
        <f t="shared" si="15"/>
        <v>685152</v>
      </c>
      <c r="Z50" s="422">
        <f t="shared" si="16"/>
        <v>42822</v>
      </c>
      <c r="AA50" s="422">
        <f t="shared" si="17"/>
        <v>256932</v>
      </c>
      <c r="AB50" s="422">
        <f t="shared" si="18"/>
        <v>128466</v>
      </c>
      <c r="AC50" s="422">
        <f t="shared" si="19"/>
        <v>85644</v>
      </c>
      <c r="AD50" s="422">
        <f t="shared" si="20"/>
        <v>85644</v>
      </c>
      <c r="AE50" s="422">
        <f t="shared" si="21"/>
        <v>171288</v>
      </c>
      <c r="AF50" s="413"/>
      <c r="AG50" s="422"/>
      <c r="AH50" s="422">
        <f t="shared" si="3"/>
        <v>9069138</v>
      </c>
      <c r="AI50" s="443"/>
      <c r="AJ50" s="335"/>
      <c r="AK50" s="334"/>
      <c r="AL50" s="121"/>
      <c r="AM50" s="165"/>
      <c r="AN50" s="163"/>
      <c r="AO50" s="162"/>
      <c r="AP50" s="162"/>
      <c r="AQ50" s="162"/>
      <c r="AR50" s="162"/>
      <c r="AS50" s="102"/>
      <c r="AT50" s="164"/>
      <c r="AU50" s="164"/>
      <c r="AW50" s="174"/>
      <c r="BA50" s="122"/>
    </row>
    <row r="51" spans="1:57" ht="20.25" customHeight="1" x14ac:dyDescent="0.3">
      <c r="A51" s="412" t="s">
        <v>165</v>
      </c>
      <c r="B51" s="458" t="s">
        <v>114</v>
      </c>
      <c r="C51" s="414" t="s">
        <v>115</v>
      </c>
      <c r="D51" s="428" t="s">
        <v>215</v>
      </c>
      <c r="E51" s="429" t="s">
        <v>295</v>
      </c>
      <c r="F51" s="453">
        <v>3.06</v>
      </c>
      <c r="G51" s="453">
        <v>0.15</v>
      </c>
      <c r="H51" s="459"/>
      <c r="I51" s="460"/>
      <c r="J51" s="464"/>
      <c r="K51" s="421">
        <f t="shared" si="22"/>
        <v>0</v>
      </c>
      <c r="L51" s="421">
        <f t="shared" si="7"/>
        <v>3.21</v>
      </c>
      <c r="M51" s="422">
        <f t="shared" si="8"/>
        <v>7511400</v>
      </c>
      <c r="N51" s="423">
        <v>0.2</v>
      </c>
      <c r="O51" s="424">
        <f t="shared" si="9"/>
        <v>0.64200000000000002</v>
      </c>
      <c r="P51" s="422">
        <f t="shared" si="10"/>
        <v>1502280</v>
      </c>
      <c r="Q51" s="425"/>
      <c r="R51" s="422">
        <f t="shared" si="11"/>
        <v>1170000</v>
      </c>
      <c r="S51" s="457"/>
      <c r="T51" s="422">
        <f t="shared" si="12"/>
        <v>0</v>
      </c>
      <c r="U51" s="457"/>
      <c r="V51" s="427">
        <f t="shared" si="13"/>
        <v>0</v>
      </c>
      <c r="W51" s="427"/>
      <c r="X51" s="422">
        <f t="shared" si="14"/>
        <v>1276938</v>
      </c>
      <c r="Y51" s="422">
        <f t="shared" si="15"/>
        <v>600912</v>
      </c>
      <c r="Z51" s="422">
        <f t="shared" si="16"/>
        <v>37557</v>
      </c>
      <c r="AA51" s="422">
        <f t="shared" si="17"/>
        <v>225342</v>
      </c>
      <c r="AB51" s="422">
        <f t="shared" si="18"/>
        <v>112671</v>
      </c>
      <c r="AC51" s="422">
        <f t="shared" si="19"/>
        <v>75114</v>
      </c>
      <c r="AD51" s="422">
        <f t="shared" si="20"/>
        <v>75114</v>
      </c>
      <c r="AE51" s="422">
        <f t="shared" si="21"/>
        <v>150228</v>
      </c>
      <c r="AF51" s="413"/>
      <c r="AG51" s="422"/>
      <c r="AH51" s="422">
        <f t="shared" si="3"/>
        <v>9394983</v>
      </c>
      <c r="AI51" s="443"/>
      <c r="AJ51" s="335"/>
      <c r="AK51" s="334"/>
      <c r="AL51" s="121"/>
      <c r="AM51" s="165"/>
      <c r="AN51" s="163"/>
      <c r="AO51" s="162"/>
      <c r="AP51" s="162"/>
      <c r="AQ51" s="162"/>
      <c r="AR51" s="162"/>
      <c r="AS51" s="102"/>
      <c r="AT51" s="164"/>
      <c r="AU51" s="164"/>
      <c r="BA51" s="122"/>
    </row>
    <row r="52" spans="1:57" ht="20.25" customHeight="1" x14ac:dyDescent="0.3">
      <c r="A52" s="412" t="s">
        <v>166</v>
      </c>
      <c r="B52" s="413" t="s">
        <v>302</v>
      </c>
      <c r="C52" s="414" t="s">
        <v>346</v>
      </c>
      <c r="D52" s="415" t="s">
        <v>229</v>
      </c>
      <c r="E52" s="436" t="s">
        <v>343</v>
      </c>
      <c r="F52" s="417">
        <v>3</v>
      </c>
      <c r="G52" s="430"/>
      <c r="H52" s="459"/>
      <c r="I52" s="460"/>
      <c r="J52" s="456" t="s">
        <v>111</v>
      </c>
      <c r="K52" s="421">
        <f t="shared" si="22"/>
        <v>0.18</v>
      </c>
      <c r="L52" s="421">
        <f t="shared" si="7"/>
        <v>3.18</v>
      </c>
      <c r="M52" s="422">
        <f t="shared" si="8"/>
        <v>7441200</v>
      </c>
      <c r="N52" s="423">
        <v>0.5</v>
      </c>
      <c r="O52" s="424">
        <f t="shared" si="9"/>
        <v>1.5</v>
      </c>
      <c r="P52" s="422">
        <f t="shared" si="10"/>
        <v>3510000</v>
      </c>
      <c r="Q52" s="425"/>
      <c r="R52" s="422">
        <f t="shared" si="11"/>
        <v>1170000</v>
      </c>
      <c r="S52" s="457"/>
      <c r="T52" s="422">
        <f t="shared" si="12"/>
        <v>0</v>
      </c>
      <c r="U52" s="457"/>
      <c r="V52" s="427">
        <f t="shared" si="13"/>
        <v>0</v>
      </c>
      <c r="W52" s="427"/>
      <c r="X52" s="422">
        <f t="shared" si="14"/>
        <v>1265004</v>
      </c>
      <c r="Y52" s="422">
        <f t="shared" si="15"/>
        <v>595296</v>
      </c>
      <c r="Z52" s="422">
        <f t="shared" si="16"/>
        <v>37206</v>
      </c>
      <c r="AA52" s="422">
        <f t="shared" si="17"/>
        <v>223236</v>
      </c>
      <c r="AB52" s="422">
        <f t="shared" si="18"/>
        <v>111618</v>
      </c>
      <c r="AC52" s="422">
        <f t="shared" si="19"/>
        <v>74412</v>
      </c>
      <c r="AD52" s="422">
        <f t="shared" si="20"/>
        <v>74412</v>
      </c>
      <c r="AE52" s="422">
        <f t="shared" si="21"/>
        <v>148824</v>
      </c>
      <c r="AF52" s="413"/>
      <c r="AG52" s="422"/>
      <c r="AH52" s="422">
        <f t="shared" si="3"/>
        <v>11339874</v>
      </c>
      <c r="AI52" s="443"/>
      <c r="AJ52" s="335">
        <v>3650724</v>
      </c>
      <c r="AK52" s="334" t="s">
        <v>355</v>
      </c>
      <c r="AL52" s="121"/>
      <c r="AM52" s="165"/>
      <c r="AN52" s="163"/>
      <c r="AO52" s="162"/>
      <c r="AP52" s="162"/>
      <c r="AQ52" s="162"/>
      <c r="AR52" s="162"/>
      <c r="AS52" s="102"/>
      <c r="AT52" s="164"/>
      <c r="AU52" s="164"/>
      <c r="BA52" s="122"/>
    </row>
    <row r="53" spans="1:57" ht="20.25" customHeight="1" x14ac:dyDescent="0.3">
      <c r="A53" s="412" t="s">
        <v>167</v>
      </c>
      <c r="B53" s="413" t="s">
        <v>282</v>
      </c>
      <c r="C53" s="414" t="s">
        <v>346</v>
      </c>
      <c r="D53" s="415" t="s">
        <v>277</v>
      </c>
      <c r="E53" s="429" t="s">
        <v>348</v>
      </c>
      <c r="F53" s="417">
        <v>4.32</v>
      </c>
      <c r="G53" s="453"/>
      <c r="H53" s="459"/>
      <c r="I53" s="460"/>
      <c r="J53" s="456" t="s">
        <v>146</v>
      </c>
      <c r="K53" s="421">
        <f t="shared" si="22"/>
        <v>1.0367999999999999</v>
      </c>
      <c r="L53" s="421">
        <f t="shared" si="7"/>
        <v>5.3567999999999998</v>
      </c>
      <c r="M53" s="422">
        <f t="shared" si="8"/>
        <v>12534912</v>
      </c>
      <c r="N53" s="423">
        <v>0.5</v>
      </c>
      <c r="O53" s="424">
        <f t="shared" si="9"/>
        <v>2.16</v>
      </c>
      <c r="P53" s="422">
        <f t="shared" si="10"/>
        <v>5054400</v>
      </c>
      <c r="Q53" s="425"/>
      <c r="R53" s="422">
        <f t="shared" si="11"/>
        <v>1170000</v>
      </c>
      <c r="S53" s="457"/>
      <c r="T53" s="422">
        <f t="shared" si="12"/>
        <v>0</v>
      </c>
      <c r="U53" s="457"/>
      <c r="V53" s="427">
        <f t="shared" si="13"/>
        <v>0</v>
      </c>
      <c r="W53" s="427"/>
      <c r="X53" s="422">
        <f t="shared" si="14"/>
        <v>2130935</v>
      </c>
      <c r="Y53" s="422">
        <f t="shared" si="15"/>
        <v>1002793</v>
      </c>
      <c r="Z53" s="422">
        <f t="shared" si="16"/>
        <v>62675</v>
      </c>
      <c r="AA53" s="422">
        <f t="shared" si="17"/>
        <v>376047</v>
      </c>
      <c r="AB53" s="422">
        <f t="shared" si="18"/>
        <v>188024</v>
      </c>
      <c r="AC53" s="422">
        <f t="shared" si="19"/>
        <v>125349</v>
      </c>
      <c r="AD53" s="422">
        <f t="shared" si="20"/>
        <v>125349</v>
      </c>
      <c r="AE53" s="422">
        <f t="shared" si="21"/>
        <v>250698</v>
      </c>
      <c r="AF53" s="413"/>
      <c r="AG53" s="422"/>
      <c r="AH53" s="422">
        <f t="shared" si="3"/>
        <v>17443146</v>
      </c>
      <c r="AI53" s="443"/>
      <c r="AJ53" s="335">
        <v>3762744</v>
      </c>
      <c r="AK53" s="334" t="s">
        <v>282</v>
      </c>
      <c r="AL53" s="121"/>
      <c r="AM53" s="160"/>
      <c r="AN53" s="138"/>
      <c r="AO53" s="102"/>
      <c r="AP53" s="102"/>
      <c r="AQ53" s="102"/>
      <c r="AR53" s="102"/>
      <c r="AS53" s="102"/>
      <c r="AT53" s="164"/>
      <c r="AU53" s="164"/>
      <c r="AW53" s="465">
        <f>255708212</f>
        <v>255708212</v>
      </c>
      <c r="AX53" s="465">
        <v>53201039</v>
      </c>
      <c r="BA53" s="122"/>
    </row>
    <row r="54" spans="1:57" ht="20.25" customHeight="1" x14ac:dyDescent="0.3">
      <c r="A54" s="412" t="s">
        <v>168</v>
      </c>
      <c r="B54" s="413" t="s">
        <v>284</v>
      </c>
      <c r="C54" s="414" t="s">
        <v>347</v>
      </c>
      <c r="D54" s="415" t="s">
        <v>285</v>
      </c>
      <c r="E54" s="445" t="s">
        <v>343</v>
      </c>
      <c r="F54" s="417">
        <v>4.68</v>
      </c>
      <c r="G54" s="453"/>
      <c r="H54" s="459"/>
      <c r="I54" s="460"/>
      <c r="J54" s="456" t="s">
        <v>146</v>
      </c>
      <c r="K54" s="421">
        <f t="shared" si="22"/>
        <v>1.1232</v>
      </c>
      <c r="L54" s="421">
        <f t="shared" si="7"/>
        <v>5.8031999999999995</v>
      </c>
      <c r="M54" s="422">
        <f t="shared" si="8"/>
        <v>13579488</v>
      </c>
      <c r="N54" s="423">
        <v>0.5</v>
      </c>
      <c r="O54" s="424">
        <f t="shared" si="9"/>
        <v>2.34</v>
      </c>
      <c r="P54" s="422">
        <f t="shared" si="10"/>
        <v>5475600</v>
      </c>
      <c r="Q54" s="425"/>
      <c r="R54" s="422">
        <f t="shared" si="11"/>
        <v>1170000</v>
      </c>
      <c r="S54" s="457"/>
      <c r="T54" s="422">
        <f t="shared" si="12"/>
        <v>0</v>
      </c>
      <c r="U54" s="457"/>
      <c r="V54" s="427">
        <f t="shared" si="13"/>
        <v>0</v>
      </c>
      <c r="W54" s="427"/>
      <c r="X54" s="422">
        <f t="shared" si="14"/>
        <v>2308513</v>
      </c>
      <c r="Y54" s="422">
        <f t="shared" si="15"/>
        <v>1086359</v>
      </c>
      <c r="Z54" s="422">
        <f t="shared" si="16"/>
        <v>67897</v>
      </c>
      <c r="AA54" s="422">
        <f t="shared" si="17"/>
        <v>407385</v>
      </c>
      <c r="AB54" s="422">
        <f t="shared" si="18"/>
        <v>203692</v>
      </c>
      <c r="AC54" s="422">
        <f t="shared" si="19"/>
        <v>135795</v>
      </c>
      <c r="AD54" s="422">
        <f t="shared" si="20"/>
        <v>135795</v>
      </c>
      <c r="AE54" s="422">
        <f t="shared" si="21"/>
        <v>271590</v>
      </c>
      <c r="AF54" s="413"/>
      <c r="AG54" s="422"/>
      <c r="AH54" s="422">
        <f t="shared" si="3"/>
        <v>18799242</v>
      </c>
      <c r="AI54" s="443"/>
      <c r="AJ54" s="335">
        <v>434646</v>
      </c>
      <c r="AK54" s="334" t="s">
        <v>357</v>
      </c>
      <c r="AL54" s="121"/>
      <c r="AM54" s="160"/>
      <c r="AN54" s="138"/>
      <c r="AO54" s="102"/>
      <c r="AP54" s="102"/>
      <c r="AQ54" s="102"/>
      <c r="AR54" s="102"/>
      <c r="AS54" s="102"/>
      <c r="AT54" s="172"/>
      <c r="AU54" s="172"/>
      <c r="AW54" s="465">
        <v>5067489</v>
      </c>
      <c r="AX54" s="465">
        <v>310000</v>
      </c>
      <c r="BA54" s="122"/>
      <c r="BC54" s="122"/>
    </row>
    <row r="55" spans="1:57" ht="20.25" customHeight="1" x14ac:dyDescent="0.3">
      <c r="A55" s="412" t="s">
        <v>169</v>
      </c>
      <c r="B55" s="413" t="s">
        <v>283</v>
      </c>
      <c r="C55" s="414" t="s">
        <v>346</v>
      </c>
      <c r="D55" s="415" t="s">
        <v>289</v>
      </c>
      <c r="E55" s="436" t="s">
        <v>337</v>
      </c>
      <c r="F55" s="417">
        <v>3.99</v>
      </c>
      <c r="G55" s="453"/>
      <c r="H55" s="459"/>
      <c r="I55" s="460"/>
      <c r="J55" s="456" t="s">
        <v>97</v>
      </c>
      <c r="K55" s="421">
        <f t="shared" si="22"/>
        <v>0.7581</v>
      </c>
      <c r="L55" s="421">
        <f t="shared" si="7"/>
        <v>4.7481</v>
      </c>
      <c r="M55" s="422">
        <f t="shared" si="8"/>
        <v>11110554</v>
      </c>
      <c r="N55" s="423">
        <v>0.5</v>
      </c>
      <c r="O55" s="424">
        <f t="shared" si="9"/>
        <v>1.9950000000000001</v>
      </c>
      <c r="P55" s="422">
        <f t="shared" si="10"/>
        <v>4668300</v>
      </c>
      <c r="Q55" s="425"/>
      <c r="R55" s="422">
        <f t="shared" si="11"/>
        <v>1170000</v>
      </c>
      <c r="S55" s="457"/>
      <c r="T55" s="422">
        <f t="shared" si="12"/>
        <v>0</v>
      </c>
      <c r="U55" s="457"/>
      <c r="V55" s="427">
        <f t="shared" si="13"/>
        <v>0</v>
      </c>
      <c r="W55" s="427"/>
      <c r="X55" s="422">
        <f t="shared" si="14"/>
        <v>1888794</v>
      </c>
      <c r="Y55" s="422">
        <f t="shared" si="15"/>
        <v>888844</v>
      </c>
      <c r="Z55" s="422">
        <f t="shared" si="16"/>
        <v>55553</v>
      </c>
      <c r="AA55" s="422">
        <f t="shared" si="17"/>
        <v>333317</v>
      </c>
      <c r="AB55" s="422">
        <f t="shared" si="18"/>
        <v>166658</v>
      </c>
      <c r="AC55" s="422">
        <f t="shared" si="19"/>
        <v>111106</v>
      </c>
      <c r="AD55" s="422">
        <f t="shared" si="20"/>
        <v>111106</v>
      </c>
      <c r="AE55" s="422">
        <f t="shared" si="21"/>
        <v>222211</v>
      </c>
      <c r="AF55" s="413"/>
      <c r="AG55" s="422"/>
      <c r="AH55" s="422">
        <f t="shared" si="3"/>
        <v>15782246</v>
      </c>
      <c r="AI55" s="443"/>
      <c r="AJ55" s="335">
        <v>422080</v>
      </c>
      <c r="AK55" s="334" t="s">
        <v>354</v>
      </c>
      <c r="AL55" s="121"/>
      <c r="AM55" s="160"/>
      <c r="AN55" s="173"/>
      <c r="AO55" s="173"/>
      <c r="AP55" s="173"/>
      <c r="AQ55" s="173"/>
      <c r="AR55" s="173"/>
      <c r="AS55" s="173"/>
      <c r="AT55" s="173"/>
      <c r="AU55" s="173"/>
      <c r="AW55" s="465">
        <v>37995000</v>
      </c>
      <c r="AX55" s="465">
        <v>1054310</v>
      </c>
    </row>
    <row r="56" spans="1:57" ht="20.25" customHeight="1" x14ac:dyDescent="0.3">
      <c r="A56" s="412" t="s">
        <v>170</v>
      </c>
      <c r="B56" s="466" t="s">
        <v>230</v>
      </c>
      <c r="C56" s="414" t="s">
        <v>346</v>
      </c>
      <c r="D56" s="415" t="s">
        <v>364</v>
      </c>
      <c r="E56" s="436" t="s">
        <v>344</v>
      </c>
      <c r="F56" s="417">
        <v>2.34</v>
      </c>
      <c r="G56" s="417"/>
      <c r="H56" s="435"/>
      <c r="I56" s="414"/>
      <c r="J56" s="420"/>
      <c r="K56" s="421">
        <f>ROUND((F56+G56+I56)*J56/100,4)</f>
        <v>0</v>
      </c>
      <c r="L56" s="421">
        <f t="shared" si="7"/>
        <v>2.34</v>
      </c>
      <c r="M56" s="422">
        <f t="shared" si="8"/>
        <v>5475600</v>
      </c>
      <c r="N56" s="423">
        <v>0.5</v>
      </c>
      <c r="O56" s="424">
        <f t="shared" si="9"/>
        <v>1.17</v>
      </c>
      <c r="P56" s="422">
        <f t="shared" si="10"/>
        <v>2737800</v>
      </c>
      <c r="Q56" s="425"/>
      <c r="R56" s="422">
        <f t="shared" si="11"/>
        <v>1170000</v>
      </c>
      <c r="S56" s="426"/>
      <c r="T56" s="422">
        <f t="shared" si="12"/>
        <v>0</v>
      </c>
      <c r="U56" s="426"/>
      <c r="V56" s="427">
        <f t="shared" si="13"/>
        <v>0</v>
      </c>
      <c r="W56" s="427"/>
      <c r="X56" s="422">
        <f t="shared" si="14"/>
        <v>930852</v>
      </c>
      <c r="Y56" s="422">
        <f t="shared" si="15"/>
        <v>438048</v>
      </c>
      <c r="Z56" s="422">
        <f t="shared" si="16"/>
        <v>27378</v>
      </c>
      <c r="AA56" s="422">
        <f t="shared" si="17"/>
        <v>164268</v>
      </c>
      <c r="AB56" s="422">
        <f t="shared" si="18"/>
        <v>82134</v>
      </c>
      <c r="AC56" s="422">
        <f t="shared" si="19"/>
        <v>54756</v>
      </c>
      <c r="AD56" s="422">
        <f t="shared" si="20"/>
        <v>54756</v>
      </c>
      <c r="AE56" s="422">
        <f t="shared" si="21"/>
        <v>109512</v>
      </c>
      <c r="AF56" s="413"/>
      <c r="AG56" s="422"/>
      <c r="AH56" s="422">
        <f t="shared" si="3"/>
        <v>8808462</v>
      </c>
      <c r="AI56" s="413"/>
      <c r="AJ56" s="335">
        <v>3013200</v>
      </c>
      <c r="AK56" s="334" t="s">
        <v>251</v>
      </c>
      <c r="AL56" s="121"/>
      <c r="AM56" s="160"/>
      <c r="AN56" s="173"/>
      <c r="AO56" s="173"/>
      <c r="AP56" s="173"/>
      <c r="AQ56" s="173"/>
      <c r="AR56" s="173"/>
      <c r="AS56" s="173"/>
      <c r="AT56" s="173"/>
      <c r="AU56" s="173"/>
      <c r="AW56" s="465">
        <v>596000</v>
      </c>
      <c r="AX56" s="465">
        <v>7905000</v>
      </c>
    </row>
    <row r="57" spans="1:57" ht="20.25" customHeight="1" x14ac:dyDescent="0.4">
      <c r="A57" s="412" t="s">
        <v>171</v>
      </c>
      <c r="B57" s="466" t="s">
        <v>223</v>
      </c>
      <c r="C57" s="414" t="s">
        <v>90</v>
      </c>
      <c r="D57" s="428" t="s">
        <v>365</v>
      </c>
      <c r="E57" s="467" t="s">
        <v>345</v>
      </c>
      <c r="F57" s="417">
        <v>2.1</v>
      </c>
      <c r="G57" s="417"/>
      <c r="H57" s="435"/>
      <c r="I57" s="414"/>
      <c r="J57" s="420"/>
      <c r="K57" s="421">
        <f>ROUND((F57+G57+I57)*J57/100,4)</f>
        <v>0</v>
      </c>
      <c r="L57" s="421">
        <f t="shared" si="7"/>
        <v>2.1</v>
      </c>
      <c r="M57" s="422">
        <f t="shared" si="8"/>
        <v>4914000</v>
      </c>
      <c r="N57" s="423">
        <v>0.5</v>
      </c>
      <c r="O57" s="424">
        <f t="shared" si="9"/>
        <v>1.05</v>
      </c>
      <c r="P57" s="422">
        <f t="shared" si="10"/>
        <v>2457000</v>
      </c>
      <c r="Q57" s="425"/>
      <c r="R57" s="422">
        <f t="shared" si="11"/>
        <v>1170000</v>
      </c>
      <c r="S57" s="426"/>
      <c r="T57" s="422">
        <f t="shared" si="12"/>
        <v>0</v>
      </c>
      <c r="U57" s="426"/>
      <c r="V57" s="427">
        <f t="shared" si="13"/>
        <v>0</v>
      </c>
      <c r="W57" s="427"/>
      <c r="X57" s="422">
        <f t="shared" si="14"/>
        <v>835380</v>
      </c>
      <c r="Y57" s="422">
        <f t="shared" si="15"/>
        <v>393120</v>
      </c>
      <c r="Z57" s="422">
        <f t="shared" si="16"/>
        <v>24570</v>
      </c>
      <c r="AA57" s="422">
        <f t="shared" si="17"/>
        <v>147420</v>
      </c>
      <c r="AB57" s="422">
        <f t="shared" si="18"/>
        <v>73710</v>
      </c>
      <c r="AC57" s="422">
        <f t="shared" si="19"/>
        <v>49140</v>
      </c>
      <c r="AD57" s="422">
        <f t="shared" si="20"/>
        <v>49140</v>
      </c>
      <c r="AE57" s="422">
        <f t="shared" si="21"/>
        <v>98280</v>
      </c>
      <c r="AF57" s="413"/>
      <c r="AG57" s="422"/>
      <c r="AH57" s="422">
        <f t="shared" si="3"/>
        <v>8025030</v>
      </c>
      <c r="AI57" s="413"/>
      <c r="AJ57" s="335"/>
      <c r="AK57" s="334"/>
      <c r="AL57" s="121"/>
      <c r="AM57" s="173"/>
      <c r="AN57" s="321"/>
      <c r="AO57" s="322"/>
      <c r="AP57" s="322"/>
      <c r="AQ57" s="321"/>
      <c r="AR57" s="321"/>
      <c r="AS57" s="179"/>
      <c r="AT57" s="180"/>
      <c r="AU57" s="180"/>
      <c r="AV57" s="88"/>
      <c r="AW57" s="468">
        <v>139243480</v>
      </c>
      <c r="AX57" s="469">
        <v>124000</v>
      </c>
      <c r="AY57" s="182"/>
      <c r="AZ57" s="182"/>
      <c r="BA57" s="183"/>
      <c r="BB57" s="88"/>
      <c r="BC57" s="184"/>
      <c r="BD57" s="173"/>
    </row>
    <row r="58" spans="1:57" s="190" customFormat="1" ht="37.5" customHeight="1" x14ac:dyDescent="0.3">
      <c r="A58" s="470" t="s">
        <v>86</v>
      </c>
      <c r="B58" s="779" t="s">
        <v>301</v>
      </c>
      <c r="C58" s="780"/>
      <c r="D58" s="780"/>
      <c r="E58" s="781"/>
      <c r="F58" s="471">
        <f>SUM(F59:F62)</f>
        <v>8.3800000000000008</v>
      </c>
      <c r="G58" s="471">
        <v>0</v>
      </c>
      <c r="H58" s="471">
        <v>0</v>
      </c>
      <c r="I58" s="472">
        <v>0</v>
      </c>
      <c r="J58" s="473"/>
      <c r="K58" s="474">
        <v>0</v>
      </c>
      <c r="L58" s="474">
        <f>SUM(L59:L62)</f>
        <v>8.3800000000000008</v>
      </c>
      <c r="M58" s="475">
        <f t="shared" ref="M58:AJ58" si="26">SUM(M59:M62)</f>
        <v>19609200</v>
      </c>
      <c r="N58" s="475">
        <f t="shared" si="26"/>
        <v>0</v>
      </c>
      <c r="O58" s="475">
        <f t="shared" si="26"/>
        <v>0</v>
      </c>
      <c r="P58" s="475">
        <f t="shared" si="26"/>
        <v>0</v>
      </c>
      <c r="Q58" s="475">
        <f t="shared" si="26"/>
        <v>0</v>
      </c>
      <c r="R58" s="475">
        <f t="shared" si="26"/>
        <v>4680000</v>
      </c>
      <c r="S58" s="475">
        <f t="shared" si="26"/>
        <v>0</v>
      </c>
      <c r="T58" s="475">
        <f t="shared" si="26"/>
        <v>0</v>
      </c>
      <c r="U58" s="475">
        <f t="shared" si="26"/>
        <v>0</v>
      </c>
      <c r="V58" s="475">
        <f t="shared" si="26"/>
        <v>0</v>
      </c>
      <c r="W58" s="475">
        <f t="shared" si="26"/>
        <v>0</v>
      </c>
      <c r="X58" s="475">
        <f t="shared" si="26"/>
        <v>3333564</v>
      </c>
      <c r="Y58" s="475">
        <f t="shared" si="26"/>
        <v>1568736</v>
      </c>
      <c r="Z58" s="475">
        <f t="shared" si="26"/>
        <v>98046</v>
      </c>
      <c r="AA58" s="475">
        <f t="shared" si="26"/>
        <v>588276</v>
      </c>
      <c r="AB58" s="475">
        <f t="shared" si="26"/>
        <v>294138</v>
      </c>
      <c r="AC58" s="475">
        <f t="shared" si="26"/>
        <v>196092</v>
      </c>
      <c r="AD58" s="475">
        <f t="shared" si="26"/>
        <v>196092</v>
      </c>
      <c r="AE58" s="475">
        <f t="shared" si="26"/>
        <v>392184</v>
      </c>
      <c r="AF58" s="475">
        <f t="shared" si="26"/>
        <v>0</v>
      </c>
      <c r="AG58" s="475">
        <f t="shared" si="26"/>
        <v>0</v>
      </c>
      <c r="AH58" s="475">
        <f t="shared" si="26"/>
        <v>22230234</v>
      </c>
      <c r="AI58" s="474">
        <f t="shared" si="26"/>
        <v>0</v>
      </c>
      <c r="AJ58" s="474">
        <f t="shared" si="26"/>
        <v>0</v>
      </c>
      <c r="AK58" s="386"/>
      <c r="AL58" s="189"/>
      <c r="AM58" s="204"/>
      <c r="AN58" s="205"/>
      <c r="AO58" s="205"/>
      <c r="AP58" s="205"/>
      <c r="AQ58" s="206"/>
      <c r="AR58" s="206"/>
      <c r="AS58" s="207"/>
      <c r="AT58" s="208"/>
      <c r="AU58" s="208"/>
      <c r="AV58" s="209"/>
      <c r="AW58" s="476">
        <v>745000</v>
      </c>
      <c r="AX58" s="477">
        <v>28970120</v>
      </c>
      <c r="AY58" s="212"/>
      <c r="AZ58" s="213"/>
      <c r="BA58" s="344"/>
      <c r="BB58" s="209"/>
      <c r="BC58" s="345"/>
      <c r="BD58" s="346"/>
    </row>
    <row r="59" spans="1:57" s="144" customFormat="1" ht="20.25" customHeight="1" x14ac:dyDescent="0.3">
      <c r="A59" s="478">
        <v>1</v>
      </c>
      <c r="B59" s="413" t="s">
        <v>6</v>
      </c>
      <c r="C59" s="463" t="s">
        <v>290</v>
      </c>
      <c r="D59" s="463"/>
      <c r="E59" s="479" t="s">
        <v>304</v>
      </c>
      <c r="F59" s="430">
        <v>2.58</v>
      </c>
      <c r="G59" s="430"/>
      <c r="H59" s="431"/>
      <c r="I59" s="414"/>
      <c r="J59" s="432"/>
      <c r="K59" s="421"/>
      <c r="L59" s="453">
        <f>F59</f>
        <v>2.58</v>
      </c>
      <c r="M59" s="422">
        <f t="shared" si="8"/>
        <v>6037200</v>
      </c>
      <c r="N59" s="423"/>
      <c r="O59" s="480"/>
      <c r="P59" s="422">
        <f t="shared" si="10"/>
        <v>0</v>
      </c>
      <c r="Q59" s="425"/>
      <c r="R59" s="422">
        <f t="shared" si="11"/>
        <v>1170000</v>
      </c>
      <c r="S59" s="426"/>
      <c r="T59" s="422"/>
      <c r="U59" s="426"/>
      <c r="V59" s="427"/>
      <c r="W59" s="427"/>
      <c r="X59" s="422">
        <f t="shared" ref="X59:X62" si="27">ROUND((L59*2340000*17/100),0)</f>
        <v>1026324</v>
      </c>
      <c r="Y59" s="422">
        <f t="shared" ref="Y59:Y62" si="28">ROUND((L59*2340000*8/100),0)</f>
        <v>482976</v>
      </c>
      <c r="Z59" s="422">
        <f t="shared" ref="Z59:Z62" si="29">ROUND((L59*2340000*0.5/100),0)</f>
        <v>30186</v>
      </c>
      <c r="AA59" s="422">
        <f t="shared" ref="AA59:AA62" si="30">ROUND((L59*2340000*3/100),0)</f>
        <v>181116</v>
      </c>
      <c r="AB59" s="422">
        <f t="shared" ref="AB59:AB62" si="31">ROUND((L59*2340000*1.5/100),0)</f>
        <v>90558</v>
      </c>
      <c r="AC59" s="422">
        <f t="shared" ref="AC59:AC62" si="32">ROUND((L59*2340000*1/100),0)</f>
        <v>60372</v>
      </c>
      <c r="AD59" s="422">
        <f t="shared" ref="AD59:AD62" si="33">ROUND((L59*2340000*1/100),0)</f>
        <v>60372</v>
      </c>
      <c r="AE59" s="422">
        <f t="shared" ref="AE59:AE62" si="34">ROUND((L59*2340000*2/100),0)</f>
        <v>120744</v>
      </c>
      <c r="AF59" s="413"/>
      <c r="AG59" s="422"/>
      <c r="AH59" s="422">
        <f>M59-Y59-AB59-AD59+P59+R59+T59+V59+W59</f>
        <v>6573294</v>
      </c>
      <c r="AI59" s="413"/>
      <c r="AJ59" s="335"/>
      <c r="AK59" s="334"/>
      <c r="AL59" s="203"/>
      <c r="AM59" s="204"/>
      <c r="AN59" s="205"/>
      <c r="AO59" s="205"/>
      <c r="AP59" s="205"/>
      <c r="AQ59" s="206"/>
      <c r="AR59" s="206"/>
      <c r="AS59" s="207"/>
      <c r="AT59" s="208"/>
      <c r="AU59" s="208"/>
      <c r="AV59" s="209"/>
      <c r="AW59" s="476">
        <v>46114691</v>
      </c>
      <c r="AX59" s="477">
        <v>155000</v>
      </c>
      <c r="AY59" s="212"/>
      <c r="AZ59" s="213"/>
      <c r="BA59" s="214"/>
      <c r="BB59" s="215"/>
      <c r="BC59" s="216"/>
      <c r="BD59" s="217"/>
      <c r="BE59" s="190"/>
    </row>
    <row r="60" spans="1:57" s="144" customFormat="1" ht="20.25" customHeight="1" x14ac:dyDescent="0.25">
      <c r="A60" s="478">
        <v>2</v>
      </c>
      <c r="B60" s="413" t="s">
        <v>172</v>
      </c>
      <c r="C60" s="463" t="s">
        <v>290</v>
      </c>
      <c r="D60" s="463"/>
      <c r="E60" s="479" t="s">
        <v>304</v>
      </c>
      <c r="F60" s="430">
        <v>2.04</v>
      </c>
      <c r="G60" s="430"/>
      <c r="H60" s="431"/>
      <c r="I60" s="414"/>
      <c r="J60" s="432"/>
      <c r="K60" s="421"/>
      <c r="L60" s="453">
        <f>F60</f>
        <v>2.04</v>
      </c>
      <c r="M60" s="422">
        <f t="shared" si="8"/>
        <v>4773600</v>
      </c>
      <c r="N60" s="423"/>
      <c r="O60" s="480"/>
      <c r="P60" s="422">
        <f t="shared" si="10"/>
        <v>0</v>
      </c>
      <c r="Q60" s="425"/>
      <c r="R60" s="422">
        <f t="shared" si="11"/>
        <v>1170000</v>
      </c>
      <c r="S60" s="426"/>
      <c r="T60" s="422"/>
      <c r="U60" s="426"/>
      <c r="V60" s="427"/>
      <c r="W60" s="427"/>
      <c r="X60" s="422">
        <f t="shared" si="27"/>
        <v>811512</v>
      </c>
      <c r="Y60" s="422">
        <f t="shared" si="28"/>
        <v>381888</v>
      </c>
      <c r="Z60" s="422">
        <f t="shared" si="29"/>
        <v>23868</v>
      </c>
      <c r="AA60" s="422">
        <f t="shared" si="30"/>
        <v>143208</v>
      </c>
      <c r="AB60" s="422">
        <f t="shared" si="31"/>
        <v>71604</v>
      </c>
      <c r="AC60" s="422">
        <f t="shared" si="32"/>
        <v>47736</v>
      </c>
      <c r="AD60" s="422">
        <f t="shared" si="33"/>
        <v>47736</v>
      </c>
      <c r="AE60" s="422">
        <f t="shared" si="34"/>
        <v>95472</v>
      </c>
      <c r="AF60" s="413"/>
      <c r="AG60" s="422"/>
      <c r="AH60" s="422">
        <f t="shared" ref="AH60:AH62" si="35">M60-Y60-AB60-AD60+P60+R60+T60+V60+W60</f>
        <v>5442372</v>
      </c>
      <c r="AI60" s="413"/>
      <c r="AJ60" s="335"/>
      <c r="AK60" s="334"/>
      <c r="AL60" s="203"/>
      <c r="AM60" s="218"/>
      <c r="AN60" s="219"/>
      <c r="AO60" s="220"/>
      <c r="AP60" s="221"/>
      <c r="AQ60" s="222"/>
      <c r="AR60" s="222"/>
      <c r="AS60" s="223"/>
      <c r="AT60" s="219"/>
      <c r="AU60" s="219"/>
      <c r="AV60" s="224"/>
      <c r="AW60" s="481">
        <v>298000</v>
      </c>
      <c r="AX60" s="482">
        <v>9594333</v>
      </c>
      <c r="AY60" s="227"/>
      <c r="AZ60" s="228"/>
      <c r="BA60" s="229"/>
      <c r="BB60" s="230"/>
    </row>
    <row r="61" spans="1:57" s="144" customFormat="1" ht="24.75" customHeight="1" x14ac:dyDescent="0.25">
      <c r="A61" s="478">
        <v>3</v>
      </c>
      <c r="B61" s="413" t="s">
        <v>227</v>
      </c>
      <c r="C61" s="463" t="s">
        <v>290</v>
      </c>
      <c r="D61" s="463"/>
      <c r="E61" s="479" t="s">
        <v>304</v>
      </c>
      <c r="F61" s="430">
        <v>1.86</v>
      </c>
      <c r="G61" s="430"/>
      <c r="H61" s="431"/>
      <c r="I61" s="414"/>
      <c r="J61" s="432"/>
      <c r="K61" s="421"/>
      <c r="L61" s="453">
        <f>F61</f>
        <v>1.86</v>
      </c>
      <c r="M61" s="422">
        <f t="shared" si="8"/>
        <v>4352400</v>
      </c>
      <c r="N61" s="423"/>
      <c r="O61" s="480"/>
      <c r="P61" s="422">
        <f t="shared" si="10"/>
        <v>0</v>
      </c>
      <c r="Q61" s="425"/>
      <c r="R61" s="422">
        <f t="shared" si="11"/>
        <v>1170000</v>
      </c>
      <c r="S61" s="426"/>
      <c r="T61" s="422"/>
      <c r="U61" s="426"/>
      <c r="V61" s="427"/>
      <c r="W61" s="427"/>
      <c r="X61" s="422">
        <f t="shared" si="27"/>
        <v>739908</v>
      </c>
      <c r="Y61" s="422">
        <f t="shared" si="28"/>
        <v>348192</v>
      </c>
      <c r="Z61" s="422">
        <f t="shared" si="29"/>
        <v>21762</v>
      </c>
      <c r="AA61" s="422">
        <f t="shared" si="30"/>
        <v>130572</v>
      </c>
      <c r="AB61" s="422">
        <f t="shared" si="31"/>
        <v>65286</v>
      </c>
      <c r="AC61" s="422">
        <f t="shared" si="32"/>
        <v>43524</v>
      </c>
      <c r="AD61" s="422">
        <f t="shared" si="33"/>
        <v>43524</v>
      </c>
      <c r="AE61" s="422">
        <f t="shared" si="34"/>
        <v>87048</v>
      </c>
      <c r="AF61" s="413"/>
      <c r="AG61" s="422"/>
      <c r="AH61" s="422">
        <f t="shared" si="35"/>
        <v>5065398</v>
      </c>
      <c r="AI61" s="483"/>
      <c r="AJ61" s="386"/>
      <c r="AK61" s="335"/>
      <c r="AL61" s="232"/>
      <c r="AM61" s="218"/>
      <c r="AN61" s="219"/>
      <c r="AO61" s="220"/>
      <c r="AP61" s="221"/>
      <c r="AQ61" s="222"/>
      <c r="AR61" s="222"/>
      <c r="AS61" s="223"/>
      <c r="AT61" s="219"/>
      <c r="AU61" s="219"/>
      <c r="AV61" s="224"/>
      <c r="AW61" s="481">
        <f>SUM(AW53:AW60)</f>
        <v>485767872</v>
      </c>
      <c r="AX61" s="482">
        <v>62000</v>
      </c>
      <c r="AY61" s="227"/>
      <c r="AZ61" s="228"/>
      <c r="BA61" s="229"/>
      <c r="BB61" s="230"/>
    </row>
    <row r="62" spans="1:57" s="144" customFormat="1" ht="20.25" customHeight="1" x14ac:dyDescent="0.25">
      <c r="A62" s="478">
        <v>4</v>
      </c>
      <c r="B62" s="413" t="s">
        <v>228</v>
      </c>
      <c r="C62" s="463" t="s">
        <v>291</v>
      </c>
      <c r="D62" s="463"/>
      <c r="E62" s="479" t="s">
        <v>304</v>
      </c>
      <c r="F62" s="430">
        <v>1.9</v>
      </c>
      <c r="G62" s="430"/>
      <c r="H62" s="431"/>
      <c r="I62" s="414"/>
      <c r="J62" s="432"/>
      <c r="K62" s="421"/>
      <c r="L62" s="453">
        <f>F62</f>
        <v>1.9</v>
      </c>
      <c r="M62" s="422">
        <f t="shared" si="8"/>
        <v>4446000</v>
      </c>
      <c r="N62" s="423"/>
      <c r="O62" s="480"/>
      <c r="P62" s="422">
        <f t="shared" si="10"/>
        <v>0</v>
      </c>
      <c r="Q62" s="425"/>
      <c r="R62" s="422">
        <f t="shared" si="11"/>
        <v>1170000</v>
      </c>
      <c r="S62" s="426"/>
      <c r="T62" s="422"/>
      <c r="U62" s="426"/>
      <c r="V62" s="427"/>
      <c r="W62" s="427"/>
      <c r="X62" s="422">
        <f t="shared" si="27"/>
        <v>755820</v>
      </c>
      <c r="Y62" s="422">
        <f t="shared" si="28"/>
        <v>355680</v>
      </c>
      <c r="Z62" s="422">
        <f t="shared" si="29"/>
        <v>22230</v>
      </c>
      <c r="AA62" s="422">
        <f t="shared" si="30"/>
        <v>133380</v>
      </c>
      <c r="AB62" s="422">
        <f t="shared" si="31"/>
        <v>66690</v>
      </c>
      <c r="AC62" s="422">
        <f t="shared" si="32"/>
        <v>44460</v>
      </c>
      <c r="AD62" s="422">
        <f t="shared" si="33"/>
        <v>44460</v>
      </c>
      <c r="AE62" s="422">
        <f t="shared" si="34"/>
        <v>88920</v>
      </c>
      <c r="AF62" s="413"/>
      <c r="AG62" s="422"/>
      <c r="AH62" s="422">
        <f t="shared" si="35"/>
        <v>5149170</v>
      </c>
      <c r="AI62" s="483"/>
      <c r="AJ62" s="335"/>
      <c r="AK62" s="334"/>
      <c r="AL62" s="232"/>
      <c r="AM62" s="218"/>
      <c r="AN62" s="219"/>
      <c r="AO62" s="220"/>
      <c r="AP62" s="221"/>
      <c r="AQ62" s="222"/>
      <c r="AR62" s="222"/>
      <c r="AS62" s="223"/>
      <c r="AT62" s="219"/>
      <c r="AU62" s="219"/>
      <c r="AV62" s="224"/>
      <c r="AW62" s="233"/>
      <c r="AX62" s="234">
        <f>SUM(AX53:AX61)</f>
        <v>101375802</v>
      </c>
      <c r="AY62" s="227"/>
      <c r="AZ62" s="228"/>
      <c r="BA62" s="229"/>
      <c r="BB62" s="230"/>
    </row>
    <row r="63" spans="1:57" s="144" customFormat="1" ht="24" customHeight="1" x14ac:dyDescent="0.25">
      <c r="A63" s="777" t="s">
        <v>63</v>
      </c>
      <c r="B63" s="778"/>
      <c r="C63" s="484"/>
      <c r="D63" s="484"/>
      <c r="E63" s="484"/>
      <c r="F63" s="485">
        <f>F58+F8</f>
        <v>199.54000000000002</v>
      </c>
      <c r="G63" s="485">
        <f>G8</f>
        <v>3.4</v>
      </c>
      <c r="H63" s="485">
        <f>H8</f>
        <v>0</v>
      </c>
      <c r="I63" s="486">
        <f>I8</f>
        <v>0.50180000000000002</v>
      </c>
      <c r="J63" s="485"/>
      <c r="K63" s="486">
        <f>K8</f>
        <v>36.193499999999993</v>
      </c>
      <c r="L63" s="485">
        <f t="shared" ref="L63:AI63" si="36">L58+L8</f>
        <v>239.63529999999997</v>
      </c>
      <c r="M63" s="475">
        <f t="shared" si="36"/>
        <v>560746602</v>
      </c>
      <c r="N63" s="475">
        <f t="shared" si="36"/>
        <v>0</v>
      </c>
      <c r="O63" s="487">
        <f t="shared" si="36"/>
        <v>93.082899999999981</v>
      </c>
      <c r="P63" s="475">
        <f t="shared" si="36"/>
        <v>217813986</v>
      </c>
      <c r="Q63" s="475">
        <f t="shared" si="36"/>
        <v>0</v>
      </c>
      <c r="R63" s="475">
        <f t="shared" si="36"/>
        <v>60840000</v>
      </c>
      <c r="S63" s="485">
        <f t="shared" si="36"/>
        <v>0.5</v>
      </c>
      <c r="T63" s="475">
        <f t="shared" si="36"/>
        <v>1170000</v>
      </c>
      <c r="U63" s="485">
        <f t="shared" si="36"/>
        <v>0.4</v>
      </c>
      <c r="V63" s="475">
        <f t="shared" si="36"/>
        <v>936000</v>
      </c>
      <c r="W63" s="475">
        <f t="shared" si="36"/>
        <v>468000</v>
      </c>
      <c r="X63" s="475">
        <f t="shared" si="36"/>
        <v>95326921</v>
      </c>
      <c r="Y63" s="475">
        <f t="shared" si="36"/>
        <v>44859730</v>
      </c>
      <c r="Z63" s="475">
        <f t="shared" si="36"/>
        <v>2803733</v>
      </c>
      <c r="AA63" s="475">
        <f t="shared" si="36"/>
        <v>16822399</v>
      </c>
      <c r="AB63" s="475">
        <f t="shared" si="36"/>
        <v>8411200</v>
      </c>
      <c r="AC63" s="475">
        <f t="shared" si="36"/>
        <v>5607470</v>
      </c>
      <c r="AD63" s="475">
        <f t="shared" si="36"/>
        <v>5607470</v>
      </c>
      <c r="AE63" s="475">
        <f t="shared" si="36"/>
        <v>11214929</v>
      </c>
      <c r="AF63" s="475">
        <f t="shared" si="36"/>
        <v>0</v>
      </c>
      <c r="AG63" s="475">
        <f t="shared" si="36"/>
        <v>0</v>
      </c>
      <c r="AH63" s="475">
        <f t="shared" si="36"/>
        <v>783096188</v>
      </c>
      <c r="AI63" s="475">
        <f t="shared" si="36"/>
        <v>0</v>
      </c>
      <c r="AJ63" s="386"/>
      <c r="AK63" s="386"/>
      <c r="AL63" s="240"/>
      <c r="AM63" s="218">
        <f>AK63-[2]T7!AH63</f>
        <v>-783146451</v>
      </c>
      <c r="AN63" s="219"/>
      <c r="AO63" s="220"/>
      <c r="AP63" s="221"/>
      <c r="AQ63" s="222"/>
      <c r="AR63" s="222"/>
      <c r="AS63" s="223"/>
      <c r="AT63" s="219"/>
      <c r="AU63" s="219"/>
      <c r="AV63" s="224"/>
      <c r="AW63" s="233"/>
      <c r="AX63" s="234"/>
      <c r="AY63" s="227"/>
      <c r="AZ63" s="228"/>
      <c r="BA63" s="229"/>
      <c r="BB63" s="230"/>
    </row>
    <row r="64" spans="1:57" ht="21.75" customHeight="1" x14ac:dyDescent="0.3">
      <c r="A64" s="729" t="s">
        <v>377</v>
      </c>
      <c r="B64" s="729"/>
      <c r="C64" s="729"/>
      <c r="D64" s="729"/>
      <c r="E64" s="729"/>
      <c r="F64" s="729"/>
      <c r="G64" s="729"/>
      <c r="H64" s="729"/>
      <c r="I64" s="729"/>
      <c r="J64" s="729"/>
      <c r="K64" s="729"/>
      <c r="L64" s="729"/>
      <c r="M64" s="729"/>
      <c r="N64" s="729"/>
      <c r="O64" s="729"/>
      <c r="P64" s="729"/>
      <c r="Q64" s="729"/>
      <c r="R64" s="729"/>
      <c r="S64" s="729"/>
      <c r="T64" s="729"/>
      <c r="U64" s="729"/>
      <c r="V64" s="729"/>
      <c r="W64" s="729"/>
      <c r="X64" s="729"/>
      <c r="Y64" s="729"/>
      <c r="Z64" s="729"/>
      <c r="AA64" s="729"/>
      <c r="AB64" s="58"/>
      <c r="AC64" s="58"/>
      <c r="AD64" s="58"/>
      <c r="AE64" s="58"/>
      <c r="AF64" s="58"/>
      <c r="AG64" s="58"/>
      <c r="AH64" s="58"/>
      <c r="AI64" s="58"/>
      <c r="AJ64" s="335"/>
      <c r="AK64" s="334"/>
      <c r="AL64" s="58"/>
      <c r="AM64" s="218"/>
      <c r="AN64" s="173"/>
      <c r="AO64" s="173"/>
      <c r="AP64" s="173"/>
      <c r="AQ64" s="173"/>
      <c r="AR64" s="173"/>
      <c r="AS64" s="173"/>
      <c r="AT64" s="173"/>
      <c r="AU64" s="173"/>
    </row>
    <row r="65" spans="1:57" x14ac:dyDescent="0.3">
      <c r="A65" s="241"/>
      <c r="B65" s="58"/>
      <c r="C65" s="242"/>
      <c r="F65" s="243"/>
      <c r="G65" s="243"/>
      <c r="H65" s="58"/>
      <c r="I65" s="58"/>
      <c r="J65" s="242"/>
      <c r="K65" s="58"/>
      <c r="L65" s="242"/>
      <c r="Q65" s="244"/>
      <c r="R65" s="245"/>
      <c r="S65" s="58"/>
      <c r="T65" s="58"/>
      <c r="U65" s="58"/>
      <c r="V65" s="242"/>
      <c r="W65" s="242"/>
      <c r="X65" s="58"/>
      <c r="Y65" s="58"/>
      <c r="Z65" s="58"/>
      <c r="AA65" s="58"/>
      <c r="AB65" s="58"/>
      <c r="AC65" s="730" t="s">
        <v>378</v>
      </c>
      <c r="AD65" s="730"/>
      <c r="AE65" s="730"/>
      <c r="AF65" s="730"/>
      <c r="AG65" s="730"/>
      <c r="AH65" s="730"/>
      <c r="AI65" s="730"/>
      <c r="AJ65" s="335"/>
      <c r="AK65" s="334"/>
      <c r="AL65" s="512"/>
      <c r="AM65" s="218"/>
      <c r="AN65" s="173"/>
      <c r="AO65" s="173"/>
      <c r="AP65" s="173"/>
      <c r="AQ65" s="173"/>
      <c r="AR65" s="173"/>
      <c r="AS65" s="173"/>
      <c r="AT65" s="173"/>
      <c r="AU65" s="173"/>
      <c r="BE65" s="144"/>
    </row>
    <row r="66" spans="1:57" x14ac:dyDescent="0.3">
      <c r="A66" s="246"/>
      <c r="B66" s="660" t="s">
        <v>64</v>
      </c>
      <c r="C66" s="660"/>
      <c r="D66" s="660"/>
      <c r="E66" s="660"/>
      <c r="F66" s="660"/>
      <c r="G66" s="660"/>
      <c r="H66" s="660"/>
      <c r="I66" s="190"/>
      <c r="J66" s="501"/>
      <c r="K66" s="190"/>
      <c r="L66" s="247"/>
      <c r="M66" s="247"/>
      <c r="N66" s="247"/>
      <c r="O66" s="247"/>
      <c r="P66" s="247"/>
      <c r="Q66" s="247"/>
      <c r="R66" s="247"/>
      <c r="S66" s="190"/>
      <c r="T66" s="660" t="s">
        <v>23</v>
      </c>
      <c r="U66" s="660"/>
      <c r="V66" s="660"/>
      <c r="W66" s="660"/>
      <c r="X66" s="190"/>
      <c r="Y66" s="660"/>
      <c r="Z66" s="660"/>
      <c r="AA66" s="660"/>
      <c r="AB66" s="660"/>
      <c r="AC66" s="190"/>
      <c r="AD66" s="730" t="s">
        <v>133</v>
      </c>
      <c r="AE66" s="730"/>
      <c r="AF66" s="730"/>
      <c r="AG66" s="730"/>
      <c r="AH66" s="248"/>
      <c r="AI66" s="248"/>
      <c r="AJ66" s="335"/>
      <c r="AK66" s="334"/>
      <c r="AL66" s="248"/>
      <c r="AM66" s="160"/>
      <c r="AN66" s="203"/>
      <c r="AO66" s="173"/>
      <c r="AP66" s="203"/>
      <c r="AQ66" s="203"/>
      <c r="AR66" s="203"/>
      <c r="AS66" s="203"/>
      <c r="AT66" s="203"/>
      <c r="AU66" s="203"/>
      <c r="AW66" s="144"/>
      <c r="AZ66" s="144"/>
      <c r="BA66" s="144"/>
      <c r="BB66" s="144"/>
      <c r="BC66" s="144"/>
      <c r="BD66" s="144"/>
    </row>
    <row r="67" spans="1:57" x14ac:dyDescent="0.3">
      <c r="A67" s="241"/>
      <c r="B67" s="725" t="s">
        <v>66</v>
      </c>
      <c r="C67" s="725"/>
      <c r="D67" s="725"/>
      <c r="E67" s="725"/>
      <c r="F67" s="725"/>
      <c r="G67" s="725"/>
      <c r="H67" s="725"/>
      <c r="K67" s="249"/>
      <c r="L67" s="174"/>
      <c r="M67" s="174"/>
      <c r="N67" s="174"/>
      <c r="O67" s="174"/>
      <c r="P67" s="174"/>
      <c r="Q67" s="250"/>
      <c r="R67" s="250"/>
      <c r="T67" s="725" t="s">
        <v>66</v>
      </c>
      <c r="U67" s="725"/>
      <c r="V67" s="725"/>
      <c r="W67" s="725"/>
      <c r="Y67" s="725"/>
      <c r="Z67" s="725"/>
      <c r="AA67" s="725"/>
      <c r="AB67" s="725"/>
      <c r="AD67" s="734" t="s">
        <v>220</v>
      </c>
      <c r="AE67" s="734"/>
      <c r="AF67" s="734"/>
      <c r="AG67" s="734"/>
      <c r="AH67" s="58"/>
      <c r="AI67" s="58"/>
      <c r="AJ67" s="335"/>
      <c r="AK67" s="334"/>
      <c r="AL67" s="58"/>
      <c r="AM67" s="127">
        <v>588140030</v>
      </c>
      <c r="AV67" s="144"/>
      <c r="AX67" s="144"/>
      <c r="AY67" s="144"/>
    </row>
    <row r="68" spans="1:57" x14ac:dyDescent="0.3">
      <c r="A68" s="241"/>
      <c r="C68" s="387"/>
      <c r="F68" s="65"/>
      <c r="G68" s="65"/>
      <c r="K68" s="174"/>
      <c r="L68" s="174"/>
      <c r="M68" s="174"/>
      <c r="N68" s="174"/>
      <c r="O68" s="174"/>
      <c r="P68" s="174"/>
      <c r="Q68" s="250"/>
      <c r="R68" s="250"/>
      <c r="V68" s="387"/>
      <c r="W68" s="387"/>
      <c r="AD68" s="251"/>
      <c r="AE68" s="252"/>
      <c r="AF68" s="513"/>
      <c r="AG68" s="513"/>
      <c r="AH68" s="58"/>
      <c r="AI68" s="58"/>
      <c r="AJ68" s="386"/>
      <c r="AK68" s="335"/>
      <c r="AL68" s="58"/>
      <c r="AM68" s="253">
        <v>3138111</v>
      </c>
    </row>
    <row r="69" spans="1:57" x14ac:dyDescent="0.3">
      <c r="A69" s="241"/>
      <c r="B69" s="58"/>
      <c r="C69" s="242"/>
      <c r="F69" s="243"/>
      <c r="G69" s="243"/>
      <c r="H69" s="58"/>
      <c r="I69" s="58"/>
      <c r="J69" s="242"/>
      <c r="K69" s="174"/>
      <c r="L69" s="174"/>
      <c r="M69" s="174"/>
      <c r="N69" s="174"/>
      <c r="O69" s="174"/>
      <c r="P69" s="174"/>
      <c r="Q69" s="250"/>
      <c r="R69" s="250"/>
      <c r="S69" s="58"/>
      <c r="T69" s="58"/>
      <c r="U69" s="58"/>
      <c r="V69" s="242"/>
      <c r="W69" s="242"/>
      <c r="X69" s="58"/>
      <c r="Y69" s="58"/>
      <c r="Z69" s="58"/>
      <c r="AA69" s="58"/>
      <c r="AB69" s="58"/>
      <c r="AC69" s="58"/>
      <c r="AD69" s="251"/>
      <c r="AE69" s="252"/>
      <c r="AF69" s="252"/>
      <c r="AG69" s="252"/>
      <c r="AH69" s="58"/>
      <c r="AI69" s="58"/>
      <c r="AJ69" s="335"/>
      <c r="AK69" s="334"/>
      <c r="AL69" s="58"/>
      <c r="AM69" s="254">
        <f>AM67+AM68</f>
        <v>591278141</v>
      </c>
      <c r="AO69" s="144"/>
    </row>
    <row r="70" spans="1:57" x14ac:dyDescent="0.3">
      <c r="A70" s="241"/>
      <c r="B70" s="58"/>
      <c r="C70" s="242"/>
      <c r="F70" s="243"/>
      <c r="G70" s="243"/>
      <c r="H70" s="58"/>
      <c r="I70" s="58"/>
      <c r="J70" s="242"/>
      <c r="K70" s="174"/>
      <c r="L70" s="174"/>
      <c r="M70" s="174"/>
      <c r="N70" s="174"/>
      <c r="O70" s="174"/>
      <c r="P70" s="174"/>
      <c r="Q70" s="250"/>
      <c r="R70" s="250"/>
      <c r="S70" s="58"/>
      <c r="T70" s="58"/>
      <c r="U70" s="58"/>
      <c r="V70" s="242"/>
      <c r="W70" s="242"/>
      <c r="X70" s="58"/>
      <c r="Y70" s="58"/>
      <c r="Z70" s="58"/>
      <c r="AA70" s="58"/>
      <c r="AB70" s="58"/>
      <c r="AC70" s="58"/>
      <c r="AD70" s="251"/>
      <c r="AE70" s="252"/>
      <c r="AF70" s="252"/>
      <c r="AG70" s="252"/>
      <c r="AH70" s="58"/>
      <c r="AI70" s="58"/>
      <c r="AJ70" s="335"/>
      <c r="AK70" s="334"/>
      <c r="AL70" s="58"/>
      <c r="AM70" s="254"/>
    </row>
    <row r="71" spans="1:57" ht="18.75" customHeight="1" x14ac:dyDescent="0.3">
      <c r="A71" s="246"/>
      <c r="B71" s="684" t="s">
        <v>174</v>
      </c>
      <c r="C71" s="684"/>
      <c r="D71" s="684"/>
      <c r="E71" s="684"/>
      <c r="F71" s="684"/>
      <c r="G71" s="684"/>
      <c r="H71" s="684"/>
      <c r="I71" s="684"/>
      <c r="J71" s="242"/>
      <c r="K71" s="174"/>
      <c r="L71" s="174"/>
      <c r="M71" s="174"/>
      <c r="N71" s="174"/>
      <c r="O71" s="174"/>
      <c r="P71" s="174"/>
      <c r="Q71" s="250"/>
      <c r="R71" s="250"/>
      <c r="S71" s="726" t="s">
        <v>174</v>
      </c>
      <c r="T71" s="726"/>
      <c r="U71" s="726"/>
      <c r="V71" s="726"/>
      <c r="W71" s="726"/>
      <c r="X71" s="58"/>
      <c r="Y71" s="726"/>
      <c r="Z71" s="726"/>
      <c r="AA71" s="726"/>
      <c r="AB71" s="726"/>
      <c r="AC71" s="726"/>
      <c r="AD71" s="730" t="s">
        <v>350</v>
      </c>
      <c r="AE71" s="730"/>
      <c r="AF71" s="730"/>
      <c r="AG71" s="730"/>
      <c r="AH71" s="248"/>
      <c r="AI71" s="248"/>
      <c r="AJ71" s="386"/>
      <c r="AK71" s="335"/>
      <c r="AL71" s="248"/>
    </row>
    <row r="72" spans="1:57" x14ac:dyDescent="0.3">
      <c r="M72" s="174"/>
      <c r="N72" s="174"/>
      <c r="O72" s="387"/>
      <c r="P72" s="387"/>
      <c r="Q72" s="250"/>
      <c r="R72" s="250"/>
      <c r="AD72" s="730"/>
      <c r="AE72" s="730"/>
      <c r="AF72" s="730"/>
      <c r="AG72" s="730"/>
      <c r="AJ72" s="335"/>
      <c r="AK72" s="334"/>
    </row>
    <row r="73" spans="1:57" x14ac:dyDescent="0.3">
      <c r="M73" s="174"/>
      <c r="N73" s="174"/>
      <c r="O73" s="174"/>
      <c r="P73" s="174"/>
      <c r="Q73" s="250"/>
      <c r="R73" s="250"/>
      <c r="AJ73" s="388"/>
      <c r="AK73" s="337"/>
    </row>
    <row r="74" spans="1:57" x14ac:dyDescent="0.3">
      <c r="M74" s="174"/>
      <c r="N74" s="174"/>
      <c r="O74" s="174"/>
      <c r="P74" s="174"/>
      <c r="Q74" s="250"/>
      <c r="R74" s="250"/>
    </row>
    <row r="75" spans="1:57" x14ac:dyDescent="0.3">
      <c r="M75" s="174"/>
      <c r="N75" s="174"/>
      <c r="O75" s="174"/>
      <c r="P75" s="174"/>
      <c r="Q75" s="250"/>
      <c r="R75" s="250"/>
    </row>
    <row r="76" spans="1:57" x14ac:dyDescent="0.3">
      <c r="M76" s="174"/>
      <c r="N76" s="174"/>
      <c r="O76" s="174"/>
      <c r="P76" s="174"/>
      <c r="Q76" s="250"/>
      <c r="R76" s="250"/>
    </row>
    <row r="77" spans="1:57" x14ac:dyDescent="0.3">
      <c r="Q77" s="250"/>
      <c r="R77" s="250"/>
    </row>
  </sheetData>
  <mergeCells count="57">
    <mergeCell ref="B71:I71"/>
    <mergeCell ref="S71:W71"/>
    <mergeCell ref="Y71:AC71"/>
    <mergeCell ref="AD71:AG71"/>
    <mergeCell ref="AD72:AG72"/>
    <mergeCell ref="B67:H67"/>
    <mergeCell ref="T67:W67"/>
    <mergeCell ref="Y67:AB67"/>
    <mergeCell ref="AD67:AG67"/>
    <mergeCell ref="AK15:AL15"/>
    <mergeCell ref="AC65:AI65"/>
    <mergeCell ref="B66:H66"/>
    <mergeCell ref="T66:W66"/>
    <mergeCell ref="Y66:AB66"/>
    <mergeCell ref="AD66:AG66"/>
    <mergeCell ref="BA23:BD24"/>
    <mergeCell ref="AW29:AW32"/>
    <mergeCell ref="B58:E58"/>
    <mergeCell ref="A63:B63"/>
    <mergeCell ref="A64:AA64"/>
    <mergeCell ref="AM5:AM6"/>
    <mergeCell ref="AO5:AS5"/>
    <mergeCell ref="AW5:AY5"/>
    <mergeCell ref="H7:I7"/>
    <mergeCell ref="J7:K7"/>
    <mergeCell ref="N7:O7"/>
    <mergeCell ref="S7:T7"/>
    <mergeCell ref="U7:V7"/>
    <mergeCell ref="AW7:AY7"/>
    <mergeCell ref="AA5:AB5"/>
    <mergeCell ref="AC5:AD5"/>
    <mergeCell ref="AF5:AF6"/>
    <mergeCell ref="AG5:AG6"/>
    <mergeCell ref="AH5:AH6"/>
    <mergeCell ref="AI5:AI6"/>
    <mergeCell ref="Q5:Q6"/>
    <mergeCell ref="R5:R6"/>
    <mergeCell ref="S5:T5"/>
    <mergeCell ref="U5:V5"/>
    <mergeCell ref="W5:W6"/>
    <mergeCell ref="X5:Y5"/>
    <mergeCell ref="N5:P5"/>
    <mergeCell ref="A1:I1"/>
    <mergeCell ref="AF1:AH1"/>
    <mergeCell ref="A2:I2"/>
    <mergeCell ref="A4:AI4"/>
    <mergeCell ref="A5:A6"/>
    <mergeCell ref="B5:B6"/>
    <mergeCell ref="C5:C6"/>
    <mergeCell ref="D5:D6"/>
    <mergeCell ref="E5:E6"/>
    <mergeCell ref="F5:F6"/>
    <mergeCell ref="G5:G6"/>
    <mergeCell ref="H5:I5"/>
    <mergeCell ref="J5:K5"/>
    <mergeCell ref="L5:L6"/>
    <mergeCell ref="M5:M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15</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CHUYỂN NH</vt:lpstr>
      <vt:lpstr>MẪU 09</vt:lpstr>
      <vt:lpstr>luong 9-2024</vt:lpstr>
      <vt:lpstr>tl 1800</vt:lpstr>
      <vt:lpstr>tl2340</vt:lpstr>
      <vt:lpstr>tl Dao</vt:lpstr>
      <vt:lpstr>T8-24</vt:lpstr>
      <vt:lpstr>'CHUYỂN NH'!Print_Titles</vt:lpstr>
      <vt:lpstr>'luong 9-2024'!Print_Titles</vt:lpstr>
      <vt:lpstr>'MẪU 09'!Print_Titles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Anh Son</dc:creator>
  <cp:lastModifiedBy>KTTHOSON</cp:lastModifiedBy>
  <cp:revision>11</cp:revision>
  <cp:lastPrinted>2024-09-04T02:35:04Z</cp:lastPrinted>
  <dcterms:created xsi:type="dcterms:W3CDTF">2002-01-01T03:39:55Z</dcterms:created>
  <dcterms:modified xsi:type="dcterms:W3CDTF">2024-09-04T02:36:34Z</dcterms:modified>
</cp:coreProperties>
</file>