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LUONG\LUONG 2024\LUONG GOI TRANG WES\"/>
    </mc:Choice>
  </mc:AlternateContent>
  <bookViews>
    <workbookView xWindow="0" yWindow="0" windowWidth="20490" windowHeight="7650" activeTab="3"/>
  </bookViews>
  <sheets>
    <sheet name="luong 10-2024" sheetId="27" r:id="rId1"/>
    <sheet name="hop dong gv" sheetId="40" r:id="rId2"/>
    <sheet name="tl 1800" sheetId="37" r:id="rId3"/>
    <sheet name="tl2340" sheetId="38" r:id="rId4"/>
  </sheets>
  <externalReferences>
    <externalReference r:id="rId5"/>
  </externalReferences>
  <definedNames>
    <definedName name="MANGACH" localSheetId="0">#REF!</definedName>
    <definedName name="MANGACH">#REF!</definedName>
    <definedName name="_xlnm.Print_Titles" localSheetId="0">'luong 10-2024'!$5:$7</definedName>
  </definedNames>
  <calcPr calcId="162913"/>
</workbook>
</file>

<file path=xl/calcChain.xml><?xml version="1.0" encoding="utf-8"?>
<calcChain xmlns="http://schemas.openxmlformats.org/spreadsheetml/2006/main">
  <c r="O8" i="40" l="1"/>
  <c r="F8" i="40"/>
  <c r="F10" i="40" s="1"/>
  <c r="E8" i="40"/>
  <c r="G8" i="40" s="1"/>
  <c r="G20" i="40"/>
  <c r="H8" i="40" l="1"/>
  <c r="J8" i="40"/>
  <c r="J10" i="40" s="1"/>
  <c r="G10" i="40"/>
  <c r="I8" i="40"/>
  <c r="I10" i="40" s="1"/>
  <c r="K8" i="40"/>
  <c r="K10" i="40" s="1"/>
  <c r="L8" i="40"/>
  <c r="L10" i="40" s="1"/>
  <c r="N8" i="40"/>
  <c r="N10" i="40" s="1"/>
  <c r="E10" i="40"/>
  <c r="M8" i="40"/>
  <c r="M10" i="40" s="1"/>
  <c r="O10" i="40" l="1"/>
  <c r="H10" i="40"/>
  <c r="AY67" i="38" l="1"/>
  <c r="AH67" i="38"/>
  <c r="Z67" i="38"/>
  <c r="Y67" i="38"/>
  <c r="X67" i="38"/>
  <c r="W67" i="38"/>
  <c r="P67" i="38"/>
  <c r="O67" i="38"/>
  <c r="N67" i="38"/>
  <c r="M67" i="38"/>
  <c r="L67" i="38"/>
  <c r="G67" i="38"/>
  <c r="F67" i="38"/>
  <c r="E67" i="38"/>
  <c r="D67" i="38"/>
  <c r="AK66" i="38"/>
  <c r="AI66" i="38"/>
  <c r="V66" i="38"/>
  <c r="U66" i="38"/>
  <c r="T66" i="38"/>
  <c r="K66" i="38"/>
  <c r="J66" i="38"/>
  <c r="AK65" i="38"/>
  <c r="AK67" i="38" s="1"/>
  <c r="V65" i="38"/>
  <c r="V67" i="38" s="1"/>
  <c r="U65" i="38"/>
  <c r="T65" i="38"/>
  <c r="T67" i="38" s="1"/>
  <c r="K65" i="38"/>
  <c r="J65" i="38"/>
  <c r="J67" i="38" s="1"/>
  <c r="AH16" i="38"/>
  <c r="Z16" i="38"/>
  <c r="Y16" i="38"/>
  <c r="X16" i="38"/>
  <c r="W16" i="38"/>
  <c r="M16" i="38"/>
  <c r="L16" i="38"/>
  <c r="E16" i="38"/>
  <c r="D16" i="38"/>
  <c r="AK13" i="38"/>
  <c r="V13" i="38"/>
  <c r="AI13" i="38" s="1"/>
  <c r="U13" i="38"/>
  <c r="T13" i="38"/>
  <c r="AD13" i="38" s="1"/>
  <c r="AJ13" i="38" s="1"/>
  <c r="K13" i="38"/>
  <c r="AE13" i="38" s="1"/>
  <c r="AN13" i="38" s="1"/>
  <c r="AO13" i="38" s="1"/>
  <c r="J13" i="38"/>
  <c r="AK12" i="38"/>
  <c r="AD12" i="38"/>
  <c r="AJ12" i="38" s="1"/>
  <c r="V12" i="38"/>
  <c r="AI12" i="38" s="1"/>
  <c r="U12" i="38"/>
  <c r="AE12" i="38" s="1"/>
  <c r="AN12" i="38" s="1"/>
  <c r="AO12" i="38" s="1"/>
  <c r="T12" i="38"/>
  <c r="K12" i="38"/>
  <c r="J12" i="38"/>
  <c r="AK11" i="38"/>
  <c r="V11" i="38"/>
  <c r="AI11" i="38" s="1"/>
  <c r="U11" i="38"/>
  <c r="T11" i="38"/>
  <c r="AD11" i="38" s="1"/>
  <c r="AJ11" i="38" s="1"/>
  <c r="K11" i="38"/>
  <c r="J11" i="38"/>
  <c r="AK10" i="38"/>
  <c r="V10" i="38"/>
  <c r="AI10" i="38" s="1"/>
  <c r="U10" i="38"/>
  <c r="AE10" i="38" s="1"/>
  <c r="AN10" i="38" s="1"/>
  <c r="AO10" i="38" s="1"/>
  <c r="T10" i="38"/>
  <c r="AD10" i="38" s="1"/>
  <c r="AJ10" i="38" s="1"/>
  <c r="K10" i="38"/>
  <c r="J10" i="38"/>
  <c r="AK9" i="38"/>
  <c r="V9" i="38"/>
  <c r="AI9" i="38" s="1"/>
  <c r="U9" i="38"/>
  <c r="T9" i="38"/>
  <c r="T16" i="38" s="1"/>
  <c r="K9" i="38"/>
  <c r="J9" i="38"/>
  <c r="J16" i="38" s="1"/>
  <c r="AY67" i="37"/>
  <c r="AH67" i="37"/>
  <c r="Z67" i="37"/>
  <c r="Y67" i="37"/>
  <c r="X67" i="37"/>
  <c r="W67" i="37"/>
  <c r="V67" i="37"/>
  <c r="U67" i="37"/>
  <c r="P67" i="37"/>
  <c r="O67" i="37"/>
  <c r="N67" i="37"/>
  <c r="M67" i="37"/>
  <c r="L67" i="37"/>
  <c r="K67" i="37"/>
  <c r="G67" i="37"/>
  <c r="F67" i="37"/>
  <c r="E67" i="37"/>
  <c r="D67" i="37"/>
  <c r="BA66" i="37"/>
  <c r="BA67" i="37" s="1"/>
  <c r="AK66" i="37"/>
  <c r="AI66" i="37"/>
  <c r="AL66" i="37" s="1"/>
  <c r="AM66" i="37" s="1"/>
  <c r="AE66" i="37"/>
  <c r="AN66" i="37" s="1"/>
  <c r="AO66" i="37" s="1"/>
  <c r="V66" i="37"/>
  <c r="U66" i="37"/>
  <c r="T66" i="37"/>
  <c r="K66" i="37"/>
  <c r="J66" i="37"/>
  <c r="AD66" i="37" s="1"/>
  <c r="AJ66" i="37" s="1"/>
  <c r="AK65" i="37"/>
  <c r="AK67" i="37" s="1"/>
  <c r="AI65" i="37"/>
  <c r="V65" i="37"/>
  <c r="U65" i="37"/>
  <c r="T65" i="37"/>
  <c r="T67" i="37" s="1"/>
  <c r="K65" i="37"/>
  <c r="AE65" i="37" s="1"/>
  <c r="J65" i="37"/>
  <c r="J67" i="37" s="1"/>
  <c r="BD14" i="37"/>
  <c r="BB14" i="37"/>
  <c r="BA14" i="37"/>
  <c r="AZ14" i="37"/>
  <c r="AY14" i="37"/>
  <c r="AH14" i="37"/>
  <c r="Z14" i="37"/>
  <c r="Y14" i="37"/>
  <c r="X14" i="37"/>
  <c r="W14" i="37"/>
  <c r="M14" i="37"/>
  <c r="L14" i="37"/>
  <c r="E14" i="37"/>
  <c r="D14" i="37"/>
  <c r="AN11" i="37"/>
  <c r="AO11" i="37" s="1"/>
  <c r="AK11" i="37"/>
  <c r="AE11" i="37"/>
  <c r="AD11" i="37"/>
  <c r="AJ11" i="37" s="1"/>
  <c r="V11" i="37"/>
  <c r="AI11" i="37" s="1"/>
  <c r="AL11" i="37" s="1"/>
  <c r="AM11" i="37" s="1"/>
  <c r="U11" i="37"/>
  <c r="T11" i="37"/>
  <c r="T14" i="37" s="1"/>
  <c r="K11" i="37"/>
  <c r="J11" i="37"/>
  <c r="AK10" i="37"/>
  <c r="AK14" i="37" s="1"/>
  <c r="AD10" i="37"/>
  <c r="AJ10" i="37" s="1"/>
  <c r="V10" i="37"/>
  <c r="AI10" i="37" s="1"/>
  <c r="U10" i="37"/>
  <c r="AE10" i="37" s="1"/>
  <c r="AN10" i="37" s="1"/>
  <c r="AO10" i="37" s="1"/>
  <c r="T10" i="37"/>
  <c r="K10" i="37"/>
  <c r="K14" i="37" s="1"/>
  <c r="J10" i="37"/>
  <c r="BA9" i="37"/>
  <c r="AK9" i="37"/>
  <c r="AI9" i="37"/>
  <c r="AD9" i="37"/>
  <c r="AJ9" i="37" s="1"/>
  <c r="AJ14" i="37" s="1"/>
  <c r="V9" i="37"/>
  <c r="V14" i="37" s="1"/>
  <c r="U9" i="37"/>
  <c r="U14" i="37" s="1"/>
  <c r="T9" i="37"/>
  <c r="K9" i="37"/>
  <c r="J9" i="37"/>
  <c r="J14" i="37" s="1"/>
  <c r="U16" i="38" l="1"/>
  <c r="AL10" i="38"/>
  <c r="AM10" i="38" s="1"/>
  <c r="AV10" i="38" s="1"/>
  <c r="AD66" i="38"/>
  <c r="AJ66" i="38" s="1"/>
  <c r="AL11" i="38"/>
  <c r="AM11" i="38" s="1"/>
  <c r="AT11" i="38" s="1"/>
  <c r="AD9" i="38"/>
  <c r="AD16" i="38" s="1"/>
  <c r="AK16" i="38"/>
  <c r="K67" i="38"/>
  <c r="AE66" i="38"/>
  <c r="AN66" i="38" s="1"/>
  <c r="AO66" i="38" s="1"/>
  <c r="AE11" i="38"/>
  <c r="AN11" i="38" s="1"/>
  <c r="AO11" i="38" s="1"/>
  <c r="K16" i="38"/>
  <c r="AL12" i="38"/>
  <c r="AM12" i="38" s="1"/>
  <c r="AL13" i="38"/>
  <c r="AM13" i="38" s="1"/>
  <c r="AQ11" i="38"/>
  <c r="AP11" i="38"/>
  <c r="AS11" i="38"/>
  <c r="AW11" i="38"/>
  <c r="AV11" i="38"/>
  <c r="AU11" i="38"/>
  <c r="AR11" i="38"/>
  <c r="AW10" i="38"/>
  <c r="AU10" i="38"/>
  <c r="AQ12" i="38"/>
  <c r="AP12" i="38"/>
  <c r="AW12" i="38"/>
  <c r="AV12" i="38"/>
  <c r="AU12" i="38"/>
  <c r="AT12" i="38"/>
  <c r="AX12" i="38" s="1"/>
  <c r="AS12" i="38"/>
  <c r="AR12" i="38"/>
  <c r="AI16" i="38"/>
  <c r="AL66" i="38"/>
  <c r="AM66" i="38" s="1"/>
  <c r="AJ9" i="38"/>
  <c r="AJ16" i="38" s="1"/>
  <c r="V16" i="38"/>
  <c r="AD65" i="38"/>
  <c r="AE65" i="38"/>
  <c r="U67" i="38"/>
  <c r="AI65" i="38"/>
  <c r="AE9" i="38"/>
  <c r="AE67" i="37"/>
  <c r="AN65" i="37"/>
  <c r="AO65" i="37" s="1"/>
  <c r="AO67" i="37" s="1"/>
  <c r="AQ11" i="37"/>
  <c r="AP11" i="37"/>
  <c r="AW11" i="37"/>
  <c r="AU11" i="37"/>
  <c r="AT11" i="37"/>
  <c r="AS11" i="37"/>
  <c r="AV11" i="37"/>
  <c r="AR11" i="37"/>
  <c r="AX11" i="37" s="1"/>
  <c r="AS66" i="37"/>
  <c r="AR66" i="37"/>
  <c r="AX66" i="37"/>
  <c r="BB66" i="37" s="1"/>
  <c r="AQ66" i="37"/>
  <c r="AW66" i="37"/>
  <c r="AV66" i="37"/>
  <c r="AP66" i="37"/>
  <c r="AU66" i="37"/>
  <c r="AT66" i="37"/>
  <c r="AL10" i="37"/>
  <c r="AM10" i="37" s="1"/>
  <c r="AI14" i="37"/>
  <c r="AD14" i="37"/>
  <c r="AL9" i="37"/>
  <c r="AD65" i="37"/>
  <c r="AE9" i="37"/>
  <c r="AI67" i="37"/>
  <c r="AS10" i="38" l="1"/>
  <c r="AX11" i="38"/>
  <c r="AP10" i="38"/>
  <c r="AQ10" i="38"/>
  <c r="AR10" i="38"/>
  <c r="AT10" i="38"/>
  <c r="AQ13" i="38"/>
  <c r="AX13" i="38"/>
  <c r="AP13" i="38"/>
  <c r="AW13" i="38"/>
  <c r="AV13" i="38"/>
  <c r="AU13" i="38"/>
  <c r="AT13" i="38"/>
  <c r="AS13" i="38"/>
  <c r="AR13" i="38"/>
  <c r="AS66" i="38"/>
  <c r="AR66" i="38"/>
  <c r="AQ66" i="38"/>
  <c r="AP66" i="38"/>
  <c r="AW66" i="38"/>
  <c r="AU66" i="38"/>
  <c r="AV66" i="38"/>
  <c r="AT66" i="38"/>
  <c r="AX66" i="38" s="1"/>
  <c r="AE16" i="38"/>
  <c r="AN9" i="38"/>
  <c r="AD67" i="38"/>
  <c r="AJ65" i="38"/>
  <c r="AJ67" i="38" s="1"/>
  <c r="AI67" i="38"/>
  <c r="AL9" i="38"/>
  <c r="AE67" i="38"/>
  <c r="AN65" i="38"/>
  <c r="AO65" i="38" s="1"/>
  <c r="AO67" i="38" s="1"/>
  <c r="AJ65" i="37"/>
  <c r="AD67" i="37"/>
  <c r="AL14" i="37"/>
  <c r="AM9" i="37"/>
  <c r="AP10" i="37"/>
  <c r="AW10" i="37"/>
  <c r="AV10" i="37"/>
  <c r="AT10" i="37"/>
  <c r="AX10" i="37" s="1"/>
  <c r="AS10" i="37"/>
  <c r="AR10" i="37"/>
  <c r="AU10" i="37"/>
  <c r="AQ10" i="37"/>
  <c r="AE14" i="37"/>
  <c r="AN9" i="37"/>
  <c r="AX10" i="38" l="1"/>
  <c r="AL65" i="38"/>
  <c r="AN16" i="38"/>
  <c r="AO9" i="38"/>
  <c r="AO16" i="38" s="1"/>
  <c r="AL16" i="38"/>
  <c r="AM9" i="38"/>
  <c r="AJ67" i="37"/>
  <c r="AL65" i="37"/>
  <c r="AR9" i="37"/>
  <c r="AR14" i="37" s="1"/>
  <c r="AQ9" i="37"/>
  <c r="AQ14" i="37" s="1"/>
  <c r="AP9" i="37"/>
  <c r="AP14" i="37" s="1"/>
  <c r="AW9" i="37"/>
  <c r="AW14" i="37" s="1"/>
  <c r="AM14" i="37"/>
  <c r="AV9" i="37"/>
  <c r="AV14" i="37" s="1"/>
  <c r="AU9" i="37"/>
  <c r="AU14" i="37" s="1"/>
  <c r="AT9" i="37"/>
  <c r="AT14" i="37" s="1"/>
  <c r="AS9" i="37"/>
  <c r="AS14" i="37" s="1"/>
  <c r="AN14" i="37"/>
  <c r="AO9" i="37"/>
  <c r="AO14" i="37" s="1"/>
  <c r="AL67" i="38" l="1"/>
  <c r="AM65" i="38"/>
  <c r="AQ9" i="38"/>
  <c r="AQ16" i="38" s="1"/>
  <c r="AP9" i="38"/>
  <c r="AP16" i="38" s="1"/>
  <c r="AW9" i="38"/>
  <c r="AW16" i="38" s="1"/>
  <c r="AM16" i="38"/>
  <c r="AV9" i="38"/>
  <c r="AV16" i="38" s="1"/>
  <c r="AS9" i="38"/>
  <c r="AS16" i="38" s="1"/>
  <c r="AU9" i="38"/>
  <c r="AU16" i="38" s="1"/>
  <c r="AT9" i="38"/>
  <c r="AT16" i="38" s="1"/>
  <c r="AR9" i="38"/>
  <c r="AR16" i="38" s="1"/>
  <c r="AX9" i="37"/>
  <c r="AL67" i="37"/>
  <c r="AM65" i="37"/>
  <c r="AT65" i="38" l="1"/>
  <c r="AT67" i="38" s="1"/>
  <c r="AS65" i="38"/>
  <c r="AS67" i="38" s="1"/>
  <c r="AR65" i="38"/>
  <c r="AR67" i="38" s="1"/>
  <c r="AQ65" i="38"/>
  <c r="AQ67" i="38" s="1"/>
  <c r="AP65" i="38"/>
  <c r="AP67" i="38" s="1"/>
  <c r="AW65" i="38"/>
  <c r="AW67" i="38" s="1"/>
  <c r="AV65" i="38"/>
  <c r="AV67" i="38" s="1"/>
  <c r="AM67" i="38"/>
  <c r="AU65" i="38"/>
  <c r="AU67" i="38" s="1"/>
  <c r="AX9" i="38"/>
  <c r="BB9" i="37"/>
  <c r="AX14" i="37"/>
  <c r="BC14" i="37" s="1"/>
  <c r="BD9" i="37"/>
  <c r="AT65" i="37"/>
  <c r="AT67" i="37" s="1"/>
  <c r="AQ65" i="37"/>
  <c r="AQ67" i="37" s="1"/>
  <c r="AS65" i="37"/>
  <c r="AS67" i="37" s="1"/>
  <c r="AR65" i="37"/>
  <c r="AR67" i="37" s="1"/>
  <c r="AP65" i="37"/>
  <c r="AP67" i="37" s="1"/>
  <c r="AW65" i="37"/>
  <c r="AW67" i="37" s="1"/>
  <c r="AV65" i="37"/>
  <c r="AV67" i="37" s="1"/>
  <c r="AM67" i="37"/>
  <c r="AU65" i="37"/>
  <c r="AU67" i="37" s="1"/>
  <c r="AX65" i="38" l="1"/>
  <c r="AX16" i="38"/>
  <c r="AX65" i="37"/>
  <c r="AX67" i="38" l="1"/>
  <c r="BB65" i="37"/>
  <c r="BB67" i="37" s="1"/>
  <c r="AX67" i="37"/>
  <c r="BC67" i="37" s="1"/>
  <c r="AZ65" i="37"/>
  <c r="AZ67" i="37" s="1"/>
  <c r="AL20" i="27" l="1"/>
  <c r="AK22" i="27"/>
  <c r="AK26" i="27" s="1"/>
  <c r="AK19" i="27"/>
  <c r="S8" i="27" l="1"/>
  <c r="S114" i="27" l="1"/>
  <c r="G114" i="27"/>
  <c r="H114" i="27"/>
  <c r="V113" i="27"/>
  <c r="T113" i="27"/>
  <c r="R113" i="27"/>
  <c r="O113" i="27"/>
  <c r="P113" i="27" s="1"/>
  <c r="K113" i="27"/>
  <c r="L113" i="27" s="1"/>
  <c r="I112" i="27"/>
  <c r="I114" i="27" s="1"/>
  <c r="AG112" i="27"/>
  <c r="AG114" i="27" s="1"/>
  <c r="AF112" i="27"/>
  <c r="AF114" i="27" s="1"/>
  <c r="W112" i="27"/>
  <c r="W114" i="27" s="1"/>
  <c r="U112" i="27"/>
  <c r="U114" i="27" s="1"/>
  <c r="Q112" i="27"/>
  <c r="Q114" i="27" s="1"/>
  <c r="G112" i="27"/>
  <c r="F112" i="27"/>
  <c r="F114" i="27" s="1"/>
  <c r="H64" i="27"/>
  <c r="AE113" i="27" l="1"/>
  <c r="AD113" i="27"/>
  <c r="M113" i="27"/>
  <c r="AB113" i="27"/>
  <c r="Z113" i="27"/>
  <c r="R112" i="27"/>
  <c r="R114" i="27" s="1"/>
  <c r="T112" i="27"/>
  <c r="T114" i="27" s="1"/>
  <c r="V112" i="27"/>
  <c r="V114" i="27" s="1"/>
  <c r="K112" i="27"/>
  <c r="K114" i="27" s="1"/>
  <c r="P112" i="27"/>
  <c r="P114" i="27" s="1"/>
  <c r="X113" i="27"/>
  <c r="Y113" i="27"/>
  <c r="AA113" i="27"/>
  <c r="AC113" i="27"/>
  <c r="AH113" i="27" l="1"/>
  <c r="L112" i="27"/>
  <c r="L114" i="27" s="1"/>
  <c r="AD112" i="27"/>
  <c r="AD114" i="27" s="1"/>
  <c r="X112" i="27"/>
  <c r="X114" i="27" s="1"/>
  <c r="AA112" i="27"/>
  <c r="AA114" i="27" s="1"/>
  <c r="Z112" i="27"/>
  <c r="Z114" i="27" s="1"/>
  <c r="Y112" i="27"/>
  <c r="Y114" i="27" s="1"/>
  <c r="AB112" i="27"/>
  <c r="AB114" i="27" s="1"/>
  <c r="O112" i="27"/>
  <c r="O114" i="27" s="1"/>
  <c r="M112" i="27"/>
  <c r="M114" i="27" s="1"/>
  <c r="AC112" i="27" l="1"/>
  <c r="AC114" i="27" s="1"/>
  <c r="AE112" i="27"/>
  <c r="AE114" i="27" s="1"/>
  <c r="AH112" i="27"/>
  <c r="AH114" i="27" s="1"/>
  <c r="AF8" i="27" l="1"/>
  <c r="AG8" i="27"/>
  <c r="U8" i="27"/>
  <c r="Q8" i="27"/>
  <c r="G8" i="27"/>
  <c r="K58" i="27"/>
  <c r="L58" i="27" s="1"/>
  <c r="M58" i="27" s="1"/>
  <c r="O58" i="27"/>
  <c r="P58" i="27" s="1"/>
  <c r="R58" i="27"/>
  <c r="T58" i="27"/>
  <c r="V58" i="27"/>
  <c r="V57" i="27"/>
  <c r="T57" i="27"/>
  <c r="R57" i="27"/>
  <c r="O57" i="27"/>
  <c r="P57" i="27" s="1"/>
  <c r="K57" i="27"/>
  <c r="L57" i="27" s="1"/>
  <c r="G64" i="27" l="1"/>
  <c r="AD58" i="27"/>
  <c r="AB58" i="27"/>
  <c r="AC58" i="27"/>
  <c r="AA58" i="27"/>
  <c r="Z58" i="27"/>
  <c r="Y58" i="27"/>
  <c r="X58" i="27"/>
  <c r="AE58" i="27"/>
  <c r="AD57" i="27"/>
  <c r="AC57" i="27"/>
  <c r="AB57" i="27"/>
  <c r="X57" i="27"/>
  <c r="AE57" i="27"/>
  <c r="AA57" i="27"/>
  <c r="Z57" i="27"/>
  <c r="M57" i="27"/>
  <c r="Y57" i="27"/>
  <c r="AH58" i="27" l="1"/>
  <c r="AH57" i="27"/>
  <c r="AL21" i="27" l="1"/>
  <c r="O24" i="27"/>
  <c r="O31" i="27"/>
  <c r="O32" i="27"/>
  <c r="T59" i="27" l="1"/>
  <c r="U59" i="27"/>
  <c r="V59" i="27"/>
  <c r="W59" i="27"/>
  <c r="AF59" i="27"/>
  <c r="AG59" i="27"/>
  <c r="N59" i="27"/>
  <c r="O59" i="27"/>
  <c r="Q59" i="27"/>
  <c r="S59" i="27"/>
  <c r="AI59" i="27"/>
  <c r="R60" i="27" l="1"/>
  <c r="R61" i="27"/>
  <c r="R62" i="27"/>
  <c r="R63" i="27"/>
  <c r="P60" i="27"/>
  <c r="P61" i="27"/>
  <c r="P62" i="27"/>
  <c r="P63" i="27"/>
  <c r="X49" i="27"/>
  <c r="Y49" i="27"/>
  <c r="Z49" i="27"/>
  <c r="AA49" i="27"/>
  <c r="AB49" i="27"/>
  <c r="AC49" i="27"/>
  <c r="AD49" i="27"/>
  <c r="AE49" i="27"/>
  <c r="W26" i="27"/>
  <c r="W8" i="27" s="1"/>
  <c r="V10" i="27"/>
  <c r="V11" i="27"/>
  <c r="V12" i="27"/>
  <c r="V13" i="27"/>
  <c r="V14" i="27"/>
  <c r="V15" i="27"/>
  <c r="V16" i="27"/>
  <c r="V17" i="27"/>
  <c r="V18" i="27"/>
  <c r="V19" i="27"/>
  <c r="V20" i="27"/>
  <c r="V21" i="27"/>
  <c r="V22" i="27"/>
  <c r="V23" i="27"/>
  <c r="V24" i="27"/>
  <c r="V25" i="27"/>
  <c r="V26" i="27"/>
  <c r="V27" i="27"/>
  <c r="V28" i="27"/>
  <c r="V29" i="27"/>
  <c r="V30" i="27"/>
  <c r="V31" i="27"/>
  <c r="V32" i="27"/>
  <c r="V33" i="27"/>
  <c r="V34" i="27"/>
  <c r="V35" i="27"/>
  <c r="V36" i="27"/>
  <c r="V37" i="27"/>
  <c r="V38" i="27"/>
  <c r="V39" i="27"/>
  <c r="V40" i="27"/>
  <c r="V41" i="27"/>
  <c r="V42" i="27"/>
  <c r="V43" i="27"/>
  <c r="V44" i="27"/>
  <c r="V45" i="27"/>
  <c r="V46" i="27"/>
  <c r="V47" i="27"/>
  <c r="V48" i="27"/>
  <c r="V49" i="27"/>
  <c r="V50" i="27"/>
  <c r="V51" i="27"/>
  <c r="V52" i="27"/>
  <c r="V53" i="27"/>
  <c r="V54" i="27"/>
  <c r="V55" i="27"/>
  <c r="V56" i="27"/>
  <c r="V9" i="27"/>
  <c r="T10" i="27"/>
  <c r="T11" i="27"/>
  <c r="T12" i="27"/>
  <c r="T13" i="27"/>
  <c r="T14" i="27"/>
  <c r="T15" i="27"/>
  <c r="T16" i="27"/>
  <c r="T17" i="27"/>
  <c r="T18" i="27"/>
  <c r="T19" i="27"/>
  <c r="T20" i="27"/>
  <c r="T21" i="27"/>
  <c r="T22" i="27"/>
  <c r="T23" i="27"/>
  <c r="T24" i="27"/>
  <c r="T25" i="27"/>
  <c r="T26" i="27"/>
  <c r="T27" i="27"/>
  <c r="T28" i="27"/>
  <c r="T29" i="27"/>
  <c r="T30" i="27"/>
  <c r="T31" i="27"/>
  <c r="T32" i="27"/>
  <c r="T33" i="27"/>
  <c r="T34" i="27"/>
  <c r="T35" i="27"/>
  <c r="T36" i="27"/>
  <c r="T37" i="27"/>
  <c r="T38" i="27"/>
  <c r="T39" i="27"/>
  <c r="T40" i="27"/>
  <c r="T41" i="27"/>
  <c r="T42" i="27"/>
  <c r="T43" i="27"/>
  <c r="T44" i="27"/>
  <c r="T45" i="27"/>
  <c r="T46" i="27"/>
  <c r="T47" i="27"/>
  <c r="T48" i="27"/>
  <c r="T49" i="27"/>
  <c r="T50" i="27"/>
  <c r="T51" i="27"/>
  <c r="T52" i="27"/>
  <c r="T53" i="27"/>
  <c r="T54" i="27"/>
  <c r="T55" i="27"/>
  <c r="T56" i="27"/>
  <c r="T9" i="27"/>
  <c r="R10" i="27"/>
  <c r="R11" i="27"/>
  <c r="R12" i="27"/>
  <c r="R13" i="27"/>
  <c r="R14" i="27"/>
  <c r="R15" i="27"/>
  <c r="R16" i="27"/>
  <c r="R17" i="27"/>
  <c r="R18" i="27"/>
  <c r="R19" i="27"/>
  <c r="R20" i="27"/>
  <c r="R21" i="27"/>
  <c r="R22" i="27"/>
  <c r="R23" i="27"/>
  <c r="R24" i="27"/>
  <c r="R25" i="27"/>
  <c r="R26" i="27"/>
  <c r="R27" i="27"/>
  <c r="R28" i="27"/>
  <c r="R29" i="27"/>
  <c r="R30" i="27"/>
  <c r="R31" i="27"/>
  <c r="R32" i="27"/>
  <c r="R33" i="27"/>
  <c r="R34" i="27"/>
  <c r="R35" i="27"/>
  <c r="R36" i="27"/>
  <c r="R37" i="27"/>
  <c r="R38" i="27"/>
  <c r="R39" i="27"/>
  <c r="R40" i="27"/>
  <c r="R41" i="27"/>
  <c r="R42" i="27"/>
  <c r="R43" i="27"/>
  <c r="R44" i="27"/>
  <c r="R45" i="27"/>
  <c r="R46" i="27"/>
  <c r="R47" i="27"/>
  <c r="R48" i="27"/>
  <c r="R50" i="27"/>
  <c r="R51" i="27"/>
  <c r="R52" i="27"/>
  <c r="R53" i="27"/>
  <c r="R54" i="27"/>
  <c r="R55" i="27"/>
  <c r="R56" i="27"/>
  <c r="R9" i="27"/>
  <c r="P24" i="27"/>
  <c r="P31" i="27"/>
  <c r="P32" i="27"/>
  <c r="M49" i="27"/>
  <c r="R8" i="27" l="1"/>
  <c r="T8" i="27"/>
  <c r="V8" i="27"/>
  <c r="P59" i="27"/>
  <c r="R59" i="27"/>
  <c r="O49" i="27"/>
  <c r="P49" i="27" s="1"/>
  <c r="AH49" i="27" s="1"/>
  <c r="O9" i="27" l="1"/>
  <c r="P9" i="27" s="1"/>
  <c r="K9" i="27"/>
  <c r="L9" i="27" s="1"/>
  <c r="X9" i="27" l="1"/>
  <c r="Z9" i="27"/>
  <c r="Y9" i="27"/>
  <c r="M9" i="27"/>
  <c r="AA9" i="27"/>
  <c r="AC9" i="27"/>
  <c r="AE9" i="27"/>
  <c r="AD9" i="27"/>
  <c r="AB9" i="27"/>
  <c r="O25" i="27" l="1"/>
  <c r="P25" i="27" s="1"/>
  <c r="K24" i="27"/>
  <c r="L24" i="27" s="1"/>
  <c r="AB24" i="27" l="1"/>
  <c r="AC24" i="27"/>
  <c r="AD24" i="27"/>
  <c r="AE24" i="27"/>
  <c r="X24" i="27"/>
  <c r="Y24" i="27"/>
  <c r="Z24" i="27"/>
  <c r="M24" i="27"/>
  <c r="AA24" i="27"/>
  <c r="AH24" i="27" l="1"/>
  <c r="O52" i="27"/>
  <c r="P52" i="27" s="1"/>
  <c r="K52" i="27"/>
  <c r="L52" i="27" s="1"/>
  <c r="AB52" i="27" l="1"/>
  <c r="AD52" i="27"/>
  <c r="Y52" i="27"/>
  <c r="M52" i="27"/>
  <c r="Z52" i="27"/>
  <c r="AA52" i="27"/>
  <c r="X52" i="27"/>
  <c r="AC52" i="27"/>
  <c r="AE52" i="27"/>
  <c r="AH52" i="27" l="1"/>
  <c r="O35" i="27"/>
  <c r="P35" i="27" s="1"/>
  <c r="O36" i="27"/>
  <c r="P36" i="27" s="1"/>
  <c r="K35" i="27"/>
  <c r="L35" i="27" s="1"/>
  <c r="K36" i="27"/>
  <c r="L36" i="27" s="1"/>
  <c r="AB36" i="27" l="1"/>
  <c r="AD36" i="27"/>
  <c r="AE36" i="27"/>
  <c r="Y36" i="27"/>
  <c r="M36" i="27"/>
  <c r="AH36" i="27" s="1"/>
  <c r="AA36" i="27"/>
  <c r="Z36" i="27"/>
  <c r="X36" i="27"/>
  <c r="AC36" i="27"/>
  <c r="AB35" i="27"/>
  <c r="AD35" i="27"/>
  <c r="AE35" i="27"/>
  <c r="Y35" i="27"/>
  <c r="M35" i="27"/>
  <c r="AH35" i="27" s="1"/>
  <c r="AA35" i="27"/>
  <c r="Z35" i="27"/>
  <c r="X35" i="27"/>
  <c r="AC35" i="27"/>
  <c r="L61" i="27"/>
  <c r="L62" i="27"/>
  <c r="L63" i="27"/>
  <c r="L60" i="27"/>
  <c r="X60" i="27" l="1"/>
  <c r="M60" i="27"/>
  <c r="Y60" i="27"/>
  <c r="Z60" i="27"/>
  <c r="AA60" i="27"/>
  <c r="AB60" i="27"/>
  <c r="AC60" i="27"/>
  <c r="AC59" i="27" s="1"/>
  <c r="AE60" i="27"/>
  <c r="AD60" i="27"/>
  <c r="X62" i="27"/>
  <c r="Y62" i="27"/>
  <c r="Z62" i="27"/>
  <c r="M62" i="27"/>
  <c r="AA62" i="27"/>
  <c r="AB62" i="27"/>
  <c r="AE62" i="27"/>
  <c r="AC62" i="27"/>
  <c r="AD62" i="27"/>
  <c r="X61" i="27"/>
  <c r="Y61" i="27"/>
  <c r="M61" i="27"/>
  <c r="Z61" i="27"/>
  <c r="AA61" i="27"/>
  <c r="AB61" i="27"/>
  <c r="AC61" i="27"/>
  <c r="AD61" i="27"/>
  <c r="AE61" i="27"/>
  <c r="X63" i="27"/>
  <c r="Y63" i="27"/>
  <c r="Z63" i="27"/>
  <c r="AE63" i="27"/>
  <c r="AA63" i="27"/>
  <c r="M63" i="27"/>
  <c r="AB63" i="27"/>
  <c r="AC63" i="27"/>
  <c r="AD63" i="27"/>
  <c r="L59" i="27"/>
  <c r="AE59" i="27" l="1"/>
  <c r="AB59" i="27"/>
  <c r="AA59" i="27"/>
  <c r="Z59" i="27"/>
  <c r="Y59" i="27"/>
  <c r="M59" i="27"/>
  <c r="AD59" i="27"/>
  <c r="X59" i="27"/>
  <c r="AH60" i="27"/>
  <c r="AH61" i="27"/>
  <c r="AH62" i="27"/>
  <c r="AH63" i="27"/>
  <c r="AH59" i="27" l="1"/>
  <c r="AI64" i="27" l="1"/>
  <c r="F59" i="27" l="1"/>
  <c r="O17" i="27" l="1"/>
  <c r="P17" i="27" s="1"/>
  <c r="O18" i="27"/>
  <c r="P18" i="27" s="1"/>
  <c r="N64" i="27" l="1"/>
  <c r="O50" i="27" l="1"/>
  <c r="P50" i="27" s="1"/>
  <c r="AF64" i="27" l="1"/>
  <c r="AG64" i="27"/>
  <c r="S64" i="27"/>
  <c r="O54" i="27"/>
  <c r="P54" i="27" s="1"/>
  <c r="O55" i="27"/>
  <c r="P55" i="27" s="1"/>
  <c r="O56" i="27"/>
  <c r="P56" i="27" s="1"/>
  <c r="O43" i="27"/>
  <c r="P43" i="27" s="1"/>
  <c r="O44" i="27"/>
  <c r="P44" i="27" s="1"/>
  <c r="O45" i="27"/>
  <c r="P45" i="27" s="1"/>
  <c r="O46" i="27"/>
  <c r="P46" i="27" s="1"/>
  <c r="O48" i="27"/>
  <c r="P48" i="27" s="1"/>
  <c r="O40" i="27"/>
  <c r="P40" i="27" s="1"/>
  <c r="O41" i="27"/>
  <c r="P41" i="27" s="1"/>
  <c r="O42" i="27"/>
  <c r="P42" i="27" s="1"/>
  <c r="O34" i="27"/>
  <c r="P34" i="27" s="1"/>
  <c r="O38" i="27"/>
  <c r="P38" i="27" s="1"/>
  <c r="O39" i="27"/>
  <c r="P39" i="27" s="1"/>
  <c r="O33" i="27"/>
  <c r="P33" i="27" s="1"/>
  <c r="O11" i="27"/>
  <c r="P11" i="27" s="1"/>
  <c r="O13" i="27"/>
  <c r="P13" i="27" s="1"/>
  <c r="O14" i="27"/>
  <c r="P14" i="27" s="1"/>
  <c r="O16" i="27"/>
  <c r="P16" i="27" s="1"/>
  <c r="O19" i="27"/>
  <c r="P19" i="27" s="1"/>
  <c r="O20" i="27"/>
  <c r="P20" i="27" s="1"/>
  <c r="O21" i="27"/>
  <c r="O22" i="27"/>
  <c r="P22" i="27" s="1"/>
  <c r="O23" i="27"/>
  <c r="P23" i="27" s="1"/>
  <c r="O26" i="27"/>
  <c r="P26" i="27" s="1"/>
  <c r="O28" i="27"/>
  <c r="P28" i="27" s="1"/>
  <c r="O29" i="27"/>
  <c r="P29" i="27" s="1"/>
  <c r="O30" i="27"/>
  <c r="P30" i="27" s="1"/>
  <c r="P21" i="27" l="1"/>
  <c r="Q64" i="27"/>
  <c r="K56" i="27"/>
  <c r="L56" i="27" s="1"/>
  <c r="AB56" i="27" l="1"/>
  <c r="AD56" i="27"/>
  <c r="M56" i="27"/>
  <c r="Y56" i="27"/>
  <c r="Z56" i="27"/>
  <c r="X56" i="27"/>
  <c r="AC56" i="27"/>
  <c r="AE56" i="27"/>
  <c r="AA56" i="27"/>
  <c r="O53" i="27"/>
  <c r="P53" i="27" s="1"/>
  <c r="O37" i="27"/>
  <c r="P37" i="27" s="1"/>
  <c r="O27" i="27"/>
  <c r="P27" i="27" s="1"/>
  <c r="F12" i="27"/>
  <c r="O12" i="27" l="1"/>
  <c r="P12" i="27" s="1"/>
  <c r="AH56" i="27"/>
  <c r="O10" i="27"/>
  <c r="P10" i="27" l="1"/>
  <c r="U64" i="27"/>
  <c r="K53" i="27" l="1"/>
  <c r="L53" i="27" s="1"/>
  <c r="K54" i="27"/>
  <c r="L54" i="27" s="1"/>
  <c r="K55" i="27"/>
  <c r="L55" i="27" s="1"/>
  <c r="AB55" i="27" l="1"/>
  <c r="AD55" i="27"/>
  <c r="Y55" i="27"/>
  <c r="Z55" i="27"/>
  <c r="AA55" i="27"/>
  <c r="AC55" i="27"/>
  <c r="AE55" i="27"/>
  <c r="M55" i="27"/>
  <c r="X55" i="27"/>
  <c r="AB54" i="27"/>
  <c r="M54" i="27"/>
  <c r="AD54" i="27"/>
  <c r="Y54" i="27"/>
  <c r="Z54" i="27"/>
  <c r="AA54" i="27"/>
  <c r="X54" i="27"/>
  <c r="AC54" i="27"/>
  <c r="AE54" i="27"/>
  <c r="AB53" i="27"/>
  <c r="AD53" i="27"/>
  <c r="Y53" i="27"/>
  <c r="Z53" i="27"/>
  <c r="AA53" i="27"/>
  <c r="M53" i="27"/>
  <c r="AC53" i="27"/>
  <c r="AE53" i="27"/>
  <c r="X53" i="27"/>
  <c r="K12" i="27"/>
  <c r="K13" i="27"/>
  <c r="L13" i="27" s="1"/>
  <c r="AH53" i="27" l="1"/>
  <c r="AH55" i="27"/>
  <c r="AB13" i="27"/>
  <c r="AD13" i="27"/>
  <c r="AE13" i="27"/>
  <c r="Y13" i="27"/>
  <c r="AA13" i="27"/>
  <c r="Z13" i="27"/>
  <c r="M13" i="27"/>
  <c r="AC13" i="27"/>
  <c r="X13" i="27"/>
  <c r="AH54" i="27"/>
  <c r="L12" i="27"/>
  <c r="AB12" i="27" l="1"/>
  <c r="M12" i="27"/>
  <c r="AD12" i="27"/>
  <c r="AE12" i="27"/>
  <c r="Y12" i="27"/>
  <c r="AA12" i="27"/>
  <c r="Z12" i="27"/>
  <c r="X12" i="27"/>
  <c r="AC12" i="27"/>
  <c r="AH13" i="27"/>
  <c r="AH12" i="27" l="1"/>
  <c r="K17" i="27"/>
  <c r="L17" i="27" s="1"/>
  <c r="K18" i="27"/>
  <c r="L18" i="27" s="1"/>
  <c r="AB18" i="27" l="1"/>
  <c r="AD18" i="27"/>
  <c r="AE18" i="27"/>
  <c r="Y18" i="27"/>
  <c r="M18" i="27"/>
  <c r="AA18" i="27"/>
  <c r="Z18" i="27"/>
  <c r="X18" i="27"/>
  <c r="AC18" i="27"/>
  <c r="AB17" i="27"/>
  <c r="AD17" i="27"/>
  <c r="AE17" i="27"/>
  <c r="Y17" i="27"/>
  <c r="M17" i="27"/>
  <c r="AA17" i="27"/>
  <c r="Z17" i="27"/>
  <c r="X17" i="27"/>
  <c r="AC17" i="27"/>
  <c r="K14" i="27"/>
  <c r="AH17" i="27" l="1"/>
  <c r="AH18" i="27"/>
  <c r="L14" i="27"/>
  <c r="AB14" i="27" l="1"/>
  <c r="AD14" i="27"/>
  <c r="M14" i="27"/>
  <c r="AE14" i="27"/>
  <c r="Y14" i="27"/>
  <c r="AA14" i="27"/>
  <c r="Z14" i="27"/>
  <c r="X14" i="27"/>
  <c r="AC14" i="27"/>
  <c r="K50" i="27"/>
  <c r="L50" i="27" s="1"/>
  <c r="K51" i="27"/>
  <c r="K43" i="27"/>
  <c r="L43" i="27" s="1"/>
  <c r="K44" i="27"/>
  <c r="K45" i="27"/>
  <c r="L45" i="27" s="1"/>
  <c r="K46" i="27"/>
  <c r="K48" i="27"/>
  <c r="L48" i="27" s="1"/>
  <c r="K38" i="27"/>
  <c r="L38" i="27" s="1"/>
  <c r="K39" i="27"/>
  <c r="L39" i="27" s="1"/>
  <c r="K40" i="27"/>
  <c r="L40" i="27" s="1"/>
  <c r="K41" i="27"/>
  <c r="L41" i="27" s="1"/>
  <c r="K42" i="27"/>
  <c r="K33" i="27"/>
  <c r="L33" i="27" s="1"/>
  <c r="K34" i="27"/>
  <c r="L34" i="27" s="1"/>
  <c r="K37" i="27"/>
  <c r="L37" i="27" s="1"/>
  <c r="K31" i="27"/>
  <c r="L31" i="27" s="1"/>
  <c r="K32" i="27"/>
  <c r="L32" i="27" s="1"/>
  <c r="K26" i="27"/>
  <c r="L26" i="27" s="1"/>
  <c r="K27" i="27"/>
  <c r="L27" i="27" s="1"/>
  <c r="K28" i="27"/>
  <c r="L28" i="27" s="1"/>
  <c r="K29" i="27"/>
  <c r="L29" i="27" s="1"/>
  <c r="K30" i="27"/>
  <c r="L30" i="27" s="1"/>
  <c r="K19" i="27"/>
  <c r="K20" i="27"/>
  <c r="L20" i="27" s="1"/>
  <c r="K21" i="27"/>
  <c r="K22" i="27"/>
  <c r="L22" i="27" s="1"/>
  <c r="K23" i="27"/>
  <c r="L23" i="27" s="1"/>
  <c r="K25" i="27"/>
  <c r="L25" i="27" s="1"/>
  <c r="K16" i="27"/>
  <c r="K10" i="27"/>
  <c r="K11" i="27"/>
  <c r="L21" i="27" l="1"/>
  <c r="AB45" i="27"/>
  <c r="AD45" i="27"/>
  <c r="Y45" i="27"/>
  <c r="Z45" i="27"/>
  <c r="X45" i="27"/>
  <c r="AA45" i="27"/>
  <c r="AC45" i="27"/>
  <c r="M45" i="27"/>
  <c r="AE45" i="27"/>
  <c r="AB34" i="27"/>
  <c r="AD34" i="27"/>
  <c r="AE34" i="27"/>
  <c r="Y34" i="27"/>
  <c r="AA34" i="27"/>
  <c r="Z34" i="27"/>
  <c r="M34" i="27"/>
  <c r="X34" i="27"/>
  <c r="AC34" i="27"/>
  <c r="AB33" i="27"/>
  <c r="AD33" i="27"/>
  <c r="AE33" i="27"/>
  <c r="Y33" i="27"/>
  <c r="AA33" i="27"/>
  <c r="Z33" i="27"/>
  <c r="X33" i="27"/>
  <c r="M33" i="27"/>
  <c r="AC33" i="27"/>
  <c r="AB23" i="27"/>
  <c r="AD23" i="27"/>
  <c r="AE23" i="27"/>
  <c r="Y23" i="27"/>
  <c r="AA23" i="27"/>
  <c r="Z23" i="27"/>
  <c r="X23" i="27"/>
  <c r="AC23" i="27"/>
  <c r="M23" i="27"/>
  <c r="AB43" i="27"/>
  <c r="AD43" i="27"/>
  <c r="Y43" i="27"/>
  <c r="M43" i="27"/>
  <c r="Z43" i="27"/>
  <c r="X43" i="27"/>
  <c r="AA43" i="27"/>
  <c r="AC43" i="27"/>
  <c r="AE43" i="27"/>
  <c r="AB37" i="27"/>
  <c r="AD37" i="27"/>
  <c r="AE37" i="27"/>
  <c r="Y37" i="27"/>
  <c r="Z37" i="27"/>
  <c r="AA37" i="27"/>
  <c r="AC37" i="27"/>
  <c r="M37" i="27"/>
  <c r="X37" i="27"/>
  <c r="AB27" i="27"/>
  <c r="AD27" i="27"/>
  <c r="AE27" i="27"/>
  <c r="Y27" i="27"/>
  <c r="M27" i="27"/>
  <c r="AA27" i="27"/>
  <c r="Z27" i="27"/>
  <c r="X27" i="27"/>
  <c r="AC27" i="27"/>
  <c r="AB22" i="27"/>
  <c r="AD22" i="27"/>
  <c r="M22" i="27"/>
  <c r="AE22" i="27"/>
  <c r="Y22" i="27"/>
  <c r="AA22" i="27"/>
  <c r="Z22" i="27"/>
  <c r="X22" i="27"/>
  <c r="AC22" i="27"/>
  <c r="AB26" i="27"/>
  <c r="AD26" i="27"/>
  <c r="AE26" i="27"/>
  <c r="Y26" i="27"/>
  <c r="M26" i="27"/>
  <c r="AA26" i="27"/>
  <c r="Z26" i="27"/>
  <c r="X26" i="27"/>
  <c r="AC26" i="27"/>
  <c r="AB40" i="27"/>
  <c r="AD40" i="27"/>
  <c r="M40" i="27"/>
  <c r="Y40" i="27"/>
  <c r="Z40" i="27"/>
  <c r="AA40" i="27"/>
  <c r="AC40" i="27"/>
  <c r="AE40" i="27"/>
  <c r="X40" i="27"/>
  <c r="AH14" i="27"/>
  <c r="AB48" i="27"/>
  <c r="AD48" i="27"/>
  <c r="M48" i="27"/>
  <c r="Y48" i="27"/>
  <c r="Z48" i="27"/>
  <c r="AA48" i="27"/>
  <c r="AC48" i="27"/>
  <c r="AE48" i="27"/>
  <c r="X48" i="27"/>
  <c r="AB29" i="27"/>
  <c r="M29" i="27"/>
  <c r="AD29" i="27"/>
  <c r="AE29" i="27"/>
  <c r="Y29" i="27"/>
  <c r="AA29" i="27"/>
  <c r="Z29" i="27"/>
  <c r="X29" i="27"/>
  <c r="AC29" i="27"/>
  <c r="AB25" i="27"/>
  <c r="AD25" i="27"/>
  <c r="AE25" i="27"/>
  <c r="Y25" i="27"/>
  <c r="AA25" i="27"/>
  <c r="Z25" i="27"/>
  <c r="AC25" i="27"/>
  <c r="X25" i="27"/>
  <c r="M25" i="27"/>
  <c r="AB28" i="27"/>
  <c r="AD28" i="27"/>
  <c r="AE28" i="27"/>
  <c r="Y28" i="27"/>
  <c r="AA28" i="27"/>
  <c r="Z28" i="27"/>
  <c r="AC28" i="27"/>
  <c r="X28" i="27"/>
  <c r="M28" i="27"/>
  <c r="AB21" i="27"/>
  <c r="AD21" i="27"/>
  <c r="AE21" i="27"/>
  <c r="Y21" i="27"/>
  <c r="AA21" i="27"/>
  <c r="Z21" i="27"/>
  <c r="X21" i="27"/>
  <c r="AC21" i="27"/>
  <c r="M21" i="27"/>
  <c r="AB32" i="27"/>
  <c r="AD32" i="27"/>
  <c r="M32" i="27"/>
  <c r="AE32" i="27"/>
  <c r="Y32" i="27"/>
  <c r="AA32" i="27"/>
  <c r="Z32" i="27"/>
  <c r="AC32" i="27"/>
  <c r="X32" i="27"/>
  <c r="AB39" i="27"/>
  <c r="AD39" i="27"/>
  <c r="Y39" i="27"/>
  <c r="Z39" i="27"/>
  <c r="X39" i="27"/>
  <c r="AA39" i="27"/>
  <c r="AC39" i="27"/>
  <c r="M39" i="27"/>
  <c r="AE39" i="27"/>
  <c r="AB50" i="27"/>
  <c r="AD50" i="27"/>
  <c r="Y50" i="27"/>
  <c r="Z50" i="27"/>
  <c r="M50" i="27"/>
  <c r="X50" i="27"/>
  <c r="AC50" i="27"/>
  <c r="AA50" i="27"/>
  <c r="AE50" i="27"/>
  <c r="AB41" i="27"/>
  <c r="AD41" i="27"/>
  <c r="Y41" i="27"/>
  <c r="Z41" i="27"/>
  <c r="X41" i="27"/>
  <c r="AC41" i="27"/>
  <c r="M41" i="27"/>
  <c r="AA41" i="27"/>
  <c r="AE41" i="27"/>
  <c r="AB20" i="27"/>
  <c r="M20" i="27"/>
  <c r="AD20" i="27"/>
  <c r="AE20" i="27"/>
  <c r="Y20" i="27"/>
  <c r="AA20" i="27"/>
  <c r="Z20" i="27"/>
  <c r="X20" i="27"/>
  <c r="AC20" i="27"/>
  <c r="AB31" i="27"/>
  <c r="AD31" i="27"/>
  <c r="AE31" i="27"/>
  <c r="Y31" i="27"/>
  <c r="AA31" i="27"/>
  <c r="Z31" i="27"/>
  <c r="X31" i="27"/>
  <c r="M31" i="27"/>
  <c r="AC31" i="27"/>
  <c r="AB38" i="27"/>
  <c r="M38" i="27"/>
  <c r="AD38" i="27"/>
  <c r="Y38" i="27"/>
  <c r="Z38" i="27"/>
  <c r="AA38" i="27"/>
  <c r="AC38" i="27"/>
  <c r="AE38" i="27"/>
  <c r="X38" i="27"/>
  <c r="AB30" i="27"/>
  <c r="AC30" i="27"/>
  <c r="AD30" i="27"/>
  <c r="M30" i="27"/>
  <c r="AE30" i="27"/>
  <c r="X30" i="27"/>
  <c r="Z30" i="27"/>
  <c r="AA30" i="27"/>
  <c r="Y30" i="27"/>
  <c r="L51" i="27"/>
  <c r="L46" i="27"/>
  <c r="L44" i="27"/>
  <c r="L19" i="27"/>
  <c r="L42" i="27"/>
  <c r="AH26" i="27" l="1"/>
  <c r="AH38" i="27"/>
  <c r="AH32" i="27"/>
  <c r="AH43" i="27"/>
  <c r="AH50" i="27"/>
  <c r="AH45" i="27"/>
  <c r="AH34" i="27"/>
  <c r="AH21" i="27"/>
  <c r="AH20" i="27"/>
  <c r="AH25" i="27"/>
  <c r="AH29" i="27"/>
  <c r="AH31" i="27"/>
  <c r="AH37" i="27"/>
  <c r="AB19" i="27"/>
  <c r="AD19" i="27"/>
  <c r="AE19" i="27"/>
  <c r="Y19" i="27"/>
  <c r="AA19" i="27"/>
  <c r="Z19" i="27"/>
  <c r="M19" i="27"/>
  <c r="AC19" i="27"/>
  <c r="X19" i="27"/>
  <c r="AH40" i="27"/>
  <c r="AH23" i="27"/>
  <c r="AB44" i="27"/>
  <c r="AD44" i="27"/>
  <c r="Y44" i="27"/>
  <c r="M44" i="27"/>
  <c r="Z44" i="27"/>
  <c r="AA44" i="27"/>
  <c r="AC44" i="27"/>
  <c r="AE44" i="27"/>
  <c r="X44" i="27"/>
  <c r="AH27" i="27"/>
  <c r="AH41" i="27"/>
  <c r="AH28" i="27"/>
  <c r="AH48" i="27"/>
  <c r="AB42" i="27"/>
  <c r="AD42" i="27"/>
  <c r="Y42" i="27"/>
  <c r="Z42" i="27"/>
  <c r="AA42" i="27"/>
  <c r="AC42" i="27"/>
  <c r="AE42" i="27"/>
  <c r="M42" i="27"/>
  <c r="X42" i="27"/>
  <c r="AH30" i="27"/>
  <c r="AB46" i="27"/>
  <c r="M46" i="27"/>
  <c r="AD46" i="27"/>
  <c r="Y46" i="27"/>
  <c r="Z46" i="27"/>
  <c r="AA46" i="27"/>
  <c r="AC46" i="27"/>
  <c r="AE46" i="27"/>
  <c r="X46" i="27"/>
  <c r="AH22" i="27"/>
  <c r="AH33" i="27"/>
  <c r="AB51" i="27"/>
  <c r="AD51" i="27"/>
  <c r="Y51" i="27"/>
  <c r="M51" i="27"/>
  <c r="Z51" i="27"/>
  <c r="AA51" i="27"/>
  <c r="AC51" i="27"/>
  <c r="AE51" i="27"/>
  <c r="X51" i="27"/>
  <c r="AH39" i="27"/>
  <c r="O51" i="27"/>
  <c r="P51" i="27" s="1"/>
  <c r="AH19" i="27" l="1"/>
  <c r="AH42" i="27"/>
  <c r="AH46" i="27"/>
  <c r="AH51" i="27"/>
  <c r="AH44" i="27"/>
  <c r="O47" i="27" l="1"/>
  <c r="P47" i="27" s="1"/>
  <c r="F15" i="27"/>
  <c r="I15" i="27" s="1"/>
  <c r="F8" i="27" l="1"/>
  <c r="I8" i="27"/>
  <c r="K47" i="27"/>
  <c r="F64" i="27" l="1"/>
  <c r="I64" i="27"/>
  <c r="K15" i="27"/>
  <c r="K8" i="27" s="1"/>
  <c r="K64" i="27" s="1"/>
  <c r="O15" i="27"/>
  <c r="L47" i="27"/>
  <c r="AL19" i="27" l="1"/>
  <c r="L15" i="27"/>
  <c r="P15" i="27"/>
  <c r="O8" i="27"/>
  <c r="O64" i="27" s="1"/>
  <c r="AB47" i="27"/>
  <c r="AD47" i="27"/>
  <c r="Y47" i="27"/>
  <c r="Z47" i="27"/>
  <c r="M47" i="27"/>
  <c r="X47" i="27"/>
  <c r="AC47" i="27"/>
  <c r="AE47" i="27"/>
  <c r="AA47" i="27"/>
  <c r="AB15" i="27" l="1"/>
  <c r="M15" i="27"/>
  <c r="AC15" i="27"/>
  <c r="AA15" i="27"/>
  <c r="AD15" i="27"/>
  <c r="AE15" i="27"/>
  <c r="X15" i="27"/>
  <c r="Y15" i="27"/>
  <c r="AH15" i="27" s="1"/>
  <c r="Z15" i="27"/>
  <c r="P8" i="27"/>
  <c r="AH47" i="27"/>
  <c r="L10" i="27"/>
  <c r="L11" i="27"/>
  <c r="L16" i="27"/>
  <c r="L8" i="27" l="1"/>
  <c r="AB16" i="27"/>
  <c r="AD16" i="27"/>
  <c r="AE16" i="27"/>
  <c r="Y16" i="27"/>
  <c r="AA16" i="27"/>
  <c r="Z16" i="27"/>
  <c r="M16" i="27"/>
  <c r="X16" i="27"/>
  <c r="AC16" i="27"/>
  <c r="AB11" i="27"/>
  <c r="AD11" i="27"/>
  <c r="AE11" i="27"/>
  <c r="Y11" i="27"/>
  <c r="AA11" i="27"/>
  <c r="Z11" i="27"/>
  <c r="M11" i="27"/>
  <c r="X11" i="27"/>
  <c r="AC11" i="27"/>
  <c r="AB10" i="27"/>
  <c r="AD10" i="27"/>
  <c r="AE10" i="27"/>
  <c r="Y10" i="27"/>
  <c r="M10" i="27"/>
  <c r="AA10" i="27"/>
  <c r="Z10" i="27"/>
  <c r="Z8" i="27" s="1"/>
  <c r="AC10" i="27"/>
  <c r="X10" i="27"/>
  <c r="W64" i="27"/>
  <c r="R64" i="27"/>
  <c r="AA8" i="27" l="1"/>
  <c r="AE8" i="27"/>
  <c r="Y8" i="27"/>
  <c r="AC8" i="27"/>
  <c r="M8" i="27"/>
  <c r="AD8" i="27"/>
  <c r="X8" i="27"/>
  <c r="AB8" i="27"/>
  <c r="AH11" i="27"/>
  <c r="AH10" i="27"/>
  <c r="AH16" i="27"/>
  <c r="V64" i="27"/>
  <c r="T64" i="27"/>
  <c r="AL22" i="27" l="1"/>
  <c r="L64" i="27"/>
  <c r="P64" i="27"/>
  <c r="AH9" i="27"/>
  <c r="AH8" i="27" s="1"/>
  <c r="AH64" i="27" s="1"/>
  <c r="M64" i="27"/>
  <c r="Z64" i="27"/>
  <c r="X64" i="27"/>
  <c r="AC64" i="27"/>
  <c r="AB64" i="27"/>
  <c r="AA64" i="27"/>
  <c r="AD64" i="27"/>
  <c r="AE64" i="27"/>
  <c r="Y64" i="27" l="1"/>
</calcChain>
</file>

<file path=xl/sharedStrings.xml><?xml version="1.0" encoding="utf-8"?>
<sst xmlns="http://schemas.openxmlformats.org/spreadsheetml/2006/main" count="826" uniqueCount="300">
  <si>
    <t>STT</t>
  </si>
  <si>
    <t>A</t>
  </si>
  <si>
    <t>B</t>
  </si>
  <si>
    <t>Nguyễn Xuân Thuận</t>
  </si>
  <si>
    <t>Võ Thị Mỹ Dung</t>
  </si>
  <si>
    <t>02.015</t>
  </si>
  <si>
    <t>Trần Quang Thái</t>
  </si>
  <si>
    <t>Nguyễn Tấn Sử</t>
  </si>
  <si>
    <t>Nguyễn Thị Khuyên</t>
  </si>
  <si>
    <t>Trần Thi Thương</t>
  </si>
  <si>
    <t>Nguyễn Văn Thắng</t>
  </si>
  <si>
    <t>Nguyễn Thị Lộc</t>
  </si>
  <si>
    <t>Nguyễn Thị Nguyệt</t>
  </si>
  <si>
    <t>17a.170</t>
  </si>
  <si>
    <t>Lê Thị Thanh Thủy</t>
  </si>
  <si>
    <t>Võ Duy Quý Linh</t>
  </si>
  <si>
    <t>Đoàn Thị Lành</t>
  </si>
  <si>
    <t>Dương Thị Huệ</t>
  </si>
  <si>
    <t>Nông Thị Huyền</t>
  </si>
  <si>
    <t>Thị Thảo Trinh</t>
  </si>
  <si>
    <t>Vũ Thị Ninh</t>
  </si>
  <si>
    <t>Phạm Thị Cầu</t>
  </si>
  <si>
    <t>Hoàng Thị Thúy</t>
  </si>
  <si>
    <t>Kế toán trưởng</t>
  </si>
  <si>
    <t>Lê Thị Thu Hà</t>
  </si>
  <si>
    <t>Nguyễn Thị Xuyên</t>
  </si>
  <si>
    <t>Đàm Thị Tú Trinh</t>
  </si>
  <si>
    <t>Nông Văn Linh</t>
  </si>
  <si>
    <t>Đơn vị: Trường Tiểu Học Thọ Sơn</t>
  </si>
  <si>
    <t>Mẫu số: C02-HD</t>
  </si>
  <si>
    <t>Mã QHNS: 1044510</t>
  </si>
  <si>
    <t>Họ 
và Tên</t>
  </si>
  <si>
    <t>Mã 
nghạch</t>
  </si>
  <si>
    <t>Hệ số 
lương</t>
  </si>
  <si>
    <t>Hệ số phụ cấp chức vụ</t>
  </si>
  <si>
    <t>Hệ số</t>
  </si>
  <si>
    <t>Cộng
 hệ số</t>
  </si>
  <si>
    <t>Tiền 
lương tháng</t>
  </si>
  <si>
    <t>Phụ cấp ưu đãi</t>
  </si>
  <si>
    <t>Ngày hưởng 
lương thực tế</t>
  </si>
  <si>
    <t>BHXH</t>
  </si>
  <si>
    <t>BHYT</t>
  </si>
  <si>
    <t>BHTN</t>
  </si>
  <si>
    <t>KPCĐ</t>
  </si>
  <si>
    <t>Thuế 
TNCN</t>
  </si>
  <si>
    <t>Giảm 
trừ gia cảnh</t>
  </si>
  <si>
    <t>Số 
thực lĩnh</t>
  </si>
  <si>
    <t>Ghi 
chú</t>
  </si>
  <si>
    <t>%</t>
  </si>
  <si>
    <t xml:space="preserve"> phụ 
cấp thâm niên VK</t>
  </si>
  <si>
    <t xml:space="preserve"> phụ 
cấp thâm niên nghề</t>
  </si>
  <si>
    <t>Hệ số tính hượng phụ cấp ưu đãi</t>
  </si>
  <si>
    <t>Số tiền phụ cấp ưu đãi</t>
  </si>
  <si>
    <t>Trừ vào
 lương 8%</t>
  </si>
  <si>
    <t>Trích 
vào CF 3%</t>
  </si>
  <si>
    <t>Trừ vào
 lương 1,5%</t>
  </si>
  <si>
    <t>Trích 
vào CF 1%</t>
  </si>
  <si>
    <t>Trừ vào
 lương 1%</t>
  </si>
  <si>
    <t>Trích 
vào CF 2%</t>
  </si>
  <si>
    <t>C</t>
  </si>
  <si>
    <t>D</t>
  </si>
  <si>
    <t>I</t>
  </si>
  <si>
    <t>Lương biên chế được duyệt</t>
  </si>
  <si>
    <t>Cộng</t>
  </si>
  <si>
    <t>Người lập</t>
  </si>
  <si>
    <t>(Ký, họ tên)</t>
  </si>
  <si>
    <t>Trương Thị Oanh</t>
  </si>
  <si>
    <t>BHTNLĐ-BNN</t>
  </si>
  <si>
    <t>Trích 
vào CF 17%</t>
  </si>
  <si>
    <t>Trích 
vào CF 0,5%</t>
  </si>
  <si>
    <t>Nguyễn Thị Hoa</t>
  </si>
  <si>
    <t>Đoàn Thi Hoa</t>
  </si>
  <si>
    <t>Phụ cấp khu vực 0,5</t>
  </si>
  <si>
    <t>Phụ cấp trách nhiệm</t>
  </si>
  <si>
    <t>Phụ cấp độc hại</t>
  </si>
  <si>
    <t>Số tiền</t>
  </si>
  <si>
    <t>Điểu Bers</t>
  </si>
  <si>
    <t>II</t>
  </si>
  <si>
    <t>Nguyễn Thị Xuân</t>
  </si>
  <si>
    <t>Nguyễn Thị Thanh Bình</t>
  </si>
  <si>
    <t>V.07.03.08</t>
  </si>
  <si>
    <t>21</t>
  </si>
  <si>
    <t>17</t>
  </si>
  <si>
    <t>Nguyễn Văn Cường</t>
  </si>
  <si>
    <t>Nguyễn Thị Hồng Việt</t>
  </si>
  <si>
    <t>Nguyễn Thị Trúc Linh</t>
  </si>
  <si>
    <t>Trần Thị Thủy</t>
  </si>
  <si>
    <t>19</t>
  </si>
  <si>
    <t>Nguyễn Thị Thu Hương</t>
  </si>
  <si>
    <t>20</t>
  </si>
  <si>
    <t>Phạm Thị Ngắm</t>
  </si>
  <si>
    <t>16</t>
  </si>
  <si>
    <t>Bùi Tấn Nam</t>
  </si>
  <si>
    <t>13</t>
  </si>
  <si>
    <t>Đặng Thị Mỹ Hạnh</t>
  </si>
  <si>
    <t>12</t>
  </si>
  <si>
    <t>11</t>
  </si>
  <si>
    <t>Nguyễn Đức Khánh</t>
  </si>
  <si>
    <t>10</t>
  </si>
  <si>
    <t>8</t>
  </si>
  <si>
    <t>Điểu Drú</t>
  </si>
  <si>
    <t>6</t>
  </si>
  <si>
    <t>Bùi Thị Duyên</t>
  </si>
  <si>
    <t>V.07.03.09</t>
  </si>
  <si>
    <t>Đỗ Văn Tùng</t>
  </si>
  <si>
    <t>16b.121</t>
  </si>
  <si>
    <t xml:space="preserve">       Thủ trưởng đơn vị</t>
  </si>
  <si>
    <t>18</t>
  </si>
  <si>
    <t>7</t>
  </si>
  <si>
    <t>9</t>
  </si>
  <si>
    <t>1</t>
  </si>
  <si>
    <t>2</t>
  </si>
  <si>
    <t>3</t>
  </si>
  <si>
    <t>4</t>
  </si>
  <si>
    <t>5</t>
  </si>
  <si>
    <t>14</t>
  </si>
  <si>
    <t>15</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</si>
  <si>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</si>
  <si>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</si>
  <si>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</si>
  <si>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</si>
  <si>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</si>
  <si>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</si>
  <si>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</si>
  <si>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</si>
  <si>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</si>
  <si>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</si>
  <si>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</si>
  <si>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</si>
  <si>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</si>
  <si>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</si>
  <si>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</si>
  <si>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</si>
  <si>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</si>
  <si>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</si>
  <si>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</si>
  <si>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</si>
  <si>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</si>
  <si>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</si>
  <si>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</si>
  <si>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</si>
  <si>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</si>
  <si>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</si>
  <si>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</si>
  <si>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</si>
  <si>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 xml:space="preserve">Nguyễn Lục Anh </t>
  </si>
  <si>
    <t>Nguyễn Thị Lệ Thuyền</t>
  </si>
  <si>
    <t xml:space="preserve">Nguyễn Thị Lệ Thuyền </t>
  </si>
  <si>
    <t>06031</t>
  </si>
  <si>
    <t xml:space="preserve">Chức vụ </t>
  </si>
  <si>
    <t xml:space="preserve">Thời gian nâng lương lần sau </t>
  </si>
  <si>
    <t xml:space="preserve">Thời gian hết tập sự </t>
  </si>
  <si>
    <t>3/2004</t>
  </si>
  <si>
    <t>3/1999</t>
  </si>
  <si>
    <t>4/2005</t>
  </si>
  <si>
    <t>3/2000</t>
  </si>
  <si>
    <t>3/2006</t>
  </si>
  <si>
    <t>4/1998</t>
  </si>
  <si>
    <t>9/1996</t>
  </si>
  <si>
    <t>3/2007</t>
  </si>
  <si>
    <t>3/2002</t>
  </si>
  <si>
    <t>9/1994</t>
  </si>
  <si>
    <t>3/2009</t>
  </si>
  <si>
    <t>9/2010</t>
  </si>
  <si>
    <t>4/2012</t>
  </si>
  <si>
    <t>16/3/2016</t>
  </si>
  <si>
    <t>3/2001</t>
  </si>
  <si>
    <t>02/2017</t>
  </si>
  <si>
    <t>3/2010</t>
  </si>
  <si>
    <t>3/2021</t>
  </si>
  <si>
    <t>11/2020</t>
  </si>
  <si>
    <t>3/2020</t>
  </si>
  <si>
    <t>4/2011</t>
  </si>
  <si>
    <t xml:space="preserve">Đặng Thị Thảo </t>
  </si>
  <si>
    <t>Phụ cấ
p Lưu động,  0,2</t>
  </si>
  <si>
    <t>9/2021</t>
  </si>
  <si>
    <t xml:space="preserve">      (Ký, họ tên, đóng dấu)</t>
  </si>
  <si>
    <t xml:space="preserve">Thị Sâm </t>
  </si>
  <si>
    <t xml:space="preserve">Lý A Kiệm </t>
  </si>
  <si>
    <t xml:space="preserve">Nguyễn Thị Vân </t>
  </si>
  <si>
    <t>11/2017</t>
  </si>
  <si>
    <t xml:space="preserve">Trần Thị Thúy Diễm </t>
  </si>
  <si>
    <t>03/2022</t>
  </si>
  <si>
    <t>16/3/2022</t>
  </si>
  <si>
    <t>Điểu Đer</t>
  </si>
  <si>
    <t xml:space="preserve">Nguyễn Xuân Kha </t>
  </si>
  <si>
    <t xml:space="preserve">Hồ Thị Quế </t>
  </si>
  <si>
    <t>9/2022</t>
  </si>
  <si>
    <t>3/2005</t>
  </si>
  <si>
    <t>01,011</t>
  </si>
  <si>
    <t>01,009</t>
  </si>
  <si>
    <t>24/10/2022</t>
  </si>
  <si>
    <t>11/10/2022</t>
  </si>
  <si>
    <t>9/2006</t>
  </si>
  <si>
    <t>4/2013</t>
  </si>
  <si>
    <t>Đối với lao động hợp đồng thực hiện công việc hỗ trợ, phục vụ theo nghị định 111/2022/NĐ-CP</t>
  </si>
  <si>
    <t xml:space="preserve">Trần Thị Xuân Tuyền  </t>
  </si>
  <si>
    <t>9/2023</t>
  </si>
  <si>
    <t>5%</t>
  </si>
  <si>
    <t>24/04/2024</t>
  </si>
  <si>
    <t>01/12/2022</t>
  </si>
  <si>
    <t>01/9/2021</t>
  </si>
  <si>
    <t>01/7/2022</t>
  </si>
  <si>
    <t>01/09/2023</t>
  </si>
  <si>
    <t>1/6/2022</t>
  </si>
  <si>
    <t>1/8/2023</t>
  </si>
  <si>
    <t>01/11/2021</t>
  </si>
  <si>
    <t>1/05/2023</t>
  </si>
  <si>
    <t>01/4/2021</t>
  </si>
  <si>
    <t>01/4/2022</t>
  </si>
  <si>
    <t>01/3/2021</t>
  </si>
  <si>
    <t>1/6/2023</t>
  </si>
  <si>
    <t>01/06/2023</t>
  </si>
  <si>
    <t>1/3/2023</t>
  </si>
  <si>
    <t>1/1/2023</t>
  </si>
  <si>
    <t>01/12/2023</t>
  </si>
  <si>
    <t>5/4/2023</t>
  </si>
  <si>
    <t>1/9/2022</t>
  </si>
  <si>
    <t>1/5/2023</t>
  </si>
  <si>
    <t>1/1/2024</t>
  </si>
  <si>
    <t>1/05/2024</t>
  </si>
  <si>
    <t>01/11/2023</t>
  </si>
  <si>
    <t>10/02/2023</t>
  </si>
  <si>
    <t>10/08/2023</t>
  </si>
  <si>
    <t>V.07.03.29</t>
  </si>
  <si>
    <t>V.07.03.28</t>
  </si>
  <si>
    <t>01/02/2024</t>
  </si>
  <si>
    <t>1/2/2024</t>
  </si>
  <si>
    <t xml:space="preserve">Trương Văn Mỹ </t>
  </si>
  <si>
    <t>3/2024</t>
  </si>
  <si>
    <t>2/2023</t>
  </si>
  <si>
    <t>8/2023</t>
  </si>
  <si>
    <t xml:space="preserve">Nguyễn Thị Đào </t>
  </si>
  <si>
    <t>V.07.04.31</t>
  </si>
  <si>
    <t>10/2023</t>
  </si>
  <si>
    <t>50</t>
  </si>
  <si>
    <t>Thọ sơn, ngày  4 tháng  09 năm 2024</t>
  </si>
  <si>
    <t>Tổng số tiền bằng chữ: Mười lăm triệu không trăm sáu mươi bốn ngàn, chín trăm hai mươi đồng.</t>
  </si>
  <si>
    <t>BẢNG THANH TOÁN TRUY LĨNH TIỀN LƯƠNG VÀ CÁC KHOẢN PHỤ CẤP THEO LƯƠNG, CÁC KHOẢN TRÍCH NỘP THEO LƯƠNG
Tháng 08 năm 2024</t>
  </si>
  <si>
    <t>L</t>
  </si>
  <si>
    <t>S
T
T</t>
  </si>
  <si>
    <t>HỆ SỐ, % P.CẤP CŨ</t>
  </si>
  <si>
    <t>HỆ SỐ, %P.CẤP MỚI</t>
  </si>
  <si>
    <t>CHÊNH LỆCH</t>
  </si>
  <si>
    <t>Thời gian truy lĩnh</t>
  </si>
  <si>
    <t>Số tháng</t>
  </si>
  <si>
    <t>Cộng
 hệ số PC ưu đãi</t>
  </si>
  <si>
    <t xml:space="preserve">T.Cộng
 hệ số lương </t>
  </si>
  <si>
    <t>T.Cộng
 HS PC Thâm Niên</t>
  </si>
  <si>
    <t>T.Cộng
 HS PC Thâm Niên VK</t>
  </si>
  <si>
    <t>Cộng
 hệ số tính BH</t>
  </si>
  <si>
    <t>Tiền 
lương truy lĩnh tính BH</t>
  </si>
  <si>
    <t xml:space="preserve">0.5% BH Tai Nạn lao động, bệnh nghề nghiệp </t>
  </si>
  <si>
    <t>Hệ số 
PC ưu đãi (50%)</t>
  </si>
  <si>
    <t>PC thâm niên VK</t>
  </si>
  <si>
    <t>PC thâm niên nghề</t>
  </si>
  <si>
    <t xml:space="preserve"> phụ 
cấp thâm vượt khung</t>
  </si>
  <si>
    <t xml:space="preserve">Người lập </t>
  </si>
  <si>
    <t xml:space="preserve">Kế toán trưởng </t>
  </si>
  <si>
    <t xml:space="preserve">Hiệu Trưởng </t>
  </si>
  <si>
    <t>BẢNG THANH TOÁN TRUY LĨNH TIỀN LƯƠNG, THÂM NIÊN  VÀ CÁC KHOẢN PHỤ CẤP THEO LƯƠNG, CÁC KHOẢN TRÍCH NỘP THEO LƯƠNG CHUYỂN CHỨC DANH NGHỀ NGHIỆP VÀ SẾP LƯƠNG CHO VIÊN CHỨC TỪ THÁNG 02 ĐẾN THÁNG 06 NĂM 2024 MỨC LCB 1.800.000 ĐỒNG (CHUYỂN ĐƠN VỊ KHÁC)</t>
  </si>
  <si>
    <t>Đặng Quang Ngọc</t>
  </si>
  <si>
    <t>T02-&gt; T2/2024</t>
  </si>
  <si>
    <t>T03-&gt; T6/2024</t>
  </si>
  <si>
    <t>Tổng số tiền bằng chữ: (Hai trăm tám mươi sáu ngàn hai trăm hai mươi đồng)</t>
  </si>
  <si>
    <t>Thọ sơn, ngày 11 tháng 07 năm 2024</t>
  </si>
  <si>
    <t>T07-&gt;8/2024</t>
  </si>
  <si>
    <t>BẢNG THANH TOÁN TIỀN LƯƠNG VÀ CÁC KHOẢN PHỤ CẤP THEO LƯƠNG, CÁC KHOẢN TRÍCH NỘP THEO LƯƠNG
Tháng 10 năm 2024</t>
  </si>
  <si>
    <t>Nghỉ hậu sản tháng thứ tư</t>
  </si>
  <si>
    <t>BẢNG THANH TOÁN TRUY LĨNH TIỀN LƯƠNG VÀ CÁC KHOẢN PHỤ CẤP THEO LƯƠNG, CÁC KHOẢN TRÍCH NỘP THEO LƯƠNG 
TỪ THÁNG 06 ĐẾN THÁNG 06 NĂM 2024 MỨC LCB 1.800.000 ĐỒNG</t>
  </si>
  <si>
    <t xml:space="preserve">Đoàn Thị Lành </t>
  </si>
  <si>
    <t xml:space="preserve"> T6/2024</t>
  </si>
  <si>
    <t xml:space="preserve">Thị Thảo Trinh </t>
  </si>
  <si>
    <t xml:space="preserve"> T4-&gt;6/2024</t>
  </si>
  <si>
    <t xml:space="preserve">Phạm Thị Cầu </t>
  </si>
  <si>
    <t xml:space="preserve"> T3-&gt;6 /2024</t>
  </si>
  <si>
    <t>Tổng số tiền bằng chữ: (Bảy triệu hai trăm sáu mươi bảy ngàn ba trăm năm mươi hai đồng)</t>
  </si>
  <si>
    <t>Thọ sơn, ngày 02 tháng 10 năm 2024</t>
  </si>
  <si>
    <t>BẢNG THANH TOÁN TRUY LĨNH TIỀN LƯƠNG VÀ CÁC KHOẢN PHỤ CẤP THEO LƯƠNG, CÁC KHOẢN TRÍCH NỘP THEO LƯƠNG 
TỪ THÁNG 07 ĐẾN THÁNG 09 NĂM 2024 MỨC LCB 2,340,000 ĐỒNG</t>
  </si>
  <si>
    <t>T07-&gt;9/2024</t>
  </si>
  <si>
    <t>T09/2024</t>
  </si>
  <si>
    <t>Tổng số tiền bằng chữ: (Chín triệu sáu trăm chín mươi lăm ngàn năm trăm sáu mươi ba đồng)</t>
  </si>
  <si>
    <t>Thọ sơn, ngày 2 tháng 10 năm 2024</t>
  </si>
  <si>
    <t>Tổng số tiền bằng chữ: Tám trăm lẻ hai triệu bảy trăm bảy mươi lăm ngàn tám trăm mười hai đồng.</t>
  </si>
  <si>
    <t>Thọ sơn, ngày  02 tháng  10 năm 2024</t>
  </si>
  <si>
    <t xml:space="preserve">UBND HUYỆN BÙ ĐĂNG </t>
  </si>
  <si>
    <t>TRƯỜNG TIỂU HỌC THỌ SƠN</t>
  </si>
  <si>
    <t xml:space="preserve">DANH SÁCH HỢP ĐỒNG GIÁO VIÊN GIẢNG DẠY </t>
  </si>
  <si>
    <t xml:space="preserve">Hệ số lương </t>
  </si>
  <si>
    <t xml:space="preserve">Tiền lương </t>
  </si>
  <si>
    <t xml:space="preserve">Bậc </t>
  </si>
  <si>
    <t>Trích vào CF 0,5%</t>
  </si>
  <si>
    <t xml:space="preserve">Giáo viên </t>
  </si>
  <si>
    <t xml:space="preserve">TỔNG CỘNG </t>
  </si>
  <si>
    <t>THÁNG 10 NĂM 2024</t>
  </si>
  <si>
    <t xml:space="preserve">Ngô Minh Tùng </t>
  </si>
  <si>
    <t>2,34</t>
  </si>
  <si>
    <t>Thọ sơn, ngày  02   tháng  10 năm 2024</t>
  </si>
  <si>
    <r>
      <t xml:space="preserve">Số tiền bằng chữ : Sáu triệu không trăm bảy mươi ngàn sáu trăm sáu mươi hai </t>
    </r>
    <r>
      <rPr>
        <b/>
        <i/>
        <sz val="14"/>
        <color indexed="8"/>
        <rFont val="Times New Roman"/>
        <family val="1"/>
      </rPr>
      <t xml:space="preserve">đồng  </t>
    </r>
  </si>
  <si>
    <t xml:space="preserve">Ghi
 chú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</si>
</sst>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6" formatCode="_-* #,##0.00_-;\-* #,##0.00_-;_-* &quot;-&quot;??_-;_-@_-"/>
    <numFmt numFmtId="167" formatCode="[$$-409]#,##0.00;[Red]&quot;-&quot;[$$-409]#,##0.00"/>
    <numFmt numFmtId="169" formatCode="#,##0.0"/>
    <numFmt numFmtId="170" formatCode="0.0"/>
    <numFmt numFmtId="171" formatCode="_-* #,##0.0_-;\-* #,##0.0_-;_-* &quot;-&quot;??_-;_-@_-"/>
    <numFmt numFmtId="172" formatCode="_(* #,##0_);_(* \(#,##0\);_(* &quot;-&quot;??_);_(@_)"/>
    <numFmt numFmtId="173" formatCode="#,##0_ ;\-#,##0\ "/>
    <numFmt numFmtId="174" formatCode="0.0%"/>
    <numFmt numFmtId="175" formatCode="#,##0.0000"/>
    <numFmt numFmtId="176" formatCode="#,##0.000"/>
    <numFmt numFmtId="178" formatCode="0.000"/>
    <numFmt numFmtId="179" formatCode="0.00000"/>
    <numFmt numFmtId="180" formatCode="0.0000"/>
  </numFmts>
  <fonts count="61" x14ac:knownFonts="1">
    <font>
      <sz val="12"/>
      <color theme="1"/>
      <name val="Arial"/>
      <family val="2"/>
    </font>
    <font>
      <sz val="10"/>
      <name val="Times New Roman"/>
      <family val="1"/>
      <charset val="163"/>
    </font>
    <font>
      <b/>
      <sz val="10"/>
      <name val="Times New Roman"/>
      <family val="1"/>
      <charset val="163"/>
    </font>
    <font>
      <sz val="9"/>
      <name val="Times New Roman"/>
      <family val="1"/>
      <charset val="163"/>
    </font>
    <font>
      <b/>
      <sz val="9"/>
      <name val="Times New Roman"/>
      <family val="1"/>
      <charset val="163"/>
    </font>
    <font>
      <b/>
      <sz val="14"/>
      <name val="Times New Roman"/>
      <family val="1"/>
      <charset val="163"/>
    </font>
    <font>
      <sz val="14"/>
      <name val="Times New Roman"/>
      <family val="1"/>
      <charset val="163"/>
    </font>
    <font>
      <sz val="7"/>
      <name val="Times New Roman"/>
      <family val="1"/>
      <charset val="163"/>
    </font>
    <font>
      <b/>
      <sz val="12"/>
      <name val="Times New Roman"/>
      <family val="1"/>
    </font>
    <font>
      <sz val="12"/>
      <name val="Times New Roman"/>
      <family val="1"/>
    </font>
    <font>
      <sz val="9"/>
      <name val="Times New Roman"/>
      <family val="1"/>
    </font>
    <font>
      <sz val="10"/>
      <name val="Times New Roman"/>
      <family val="1"/>
    </font>
    <font>
      <b/>
      <sz val="14"/>
      <name val="Times New Roman"/>
      <family val="1"/>
    </font>
    <font>
      <sz val="8"/>
      <name val="Times New Roman"/>
      <family val="1"/>
      <charset val="163"/>
    </font>
    <font>
      <sz val="8"/>
      <name val="Arial"/>
      <family val="2"/>
    </font>
    <font>
      <sz val="14"/>
      <name val="Times New Roman"/>
      <family val="1"/>
    </font>
    <font>
      <sz val="12"/>
      <color theme="1"/>
      <name val="Times New Roman"/>
      <family val="2"/>
    </font>
    <font>
      <b/>
      <i/>
      <sz val="16"/>
      <color theme="1"/>
      <name val="Arial"/>
      <family val="2"/>
    </font>
    <font>
      <b/>
      <i/>
      <u/>
      <sz val="12"/>
      <color theme="1"/>
      <name val="Arial"/>
      <family val="2"/>
    </font>
    <font>
      <sz val="12"/>
      <name val="Times New Roman"/>
      <family val="1"/>
      <charset val="163"/>
    </font>
    <font>
      <b/>
      <sz val="11"/>
      <name val="Times New Roman"/>
      <family val="1"/>
      <charset val="163"/>
    </font>
    <font>
      <i/>
      <sz val="14"/>
      <name val="Times New Roman"/>
      <family val="1"/>
    </font>
    <font>
      <sz val="15"/>
      <color theme="1"/>
      <name val="Times New Roman"/>
      <family val="2"/>
    </font>
    <font>
      <sz val="13"/>
      <name val="Times New Roman"/>
      <family val="1"/>
      <charset val="163"/>
    </font>
    <font>
      <b/>
      <u/>
      <sz val="14"/>
      <name val="Times New Roman"/>
      <family val="1"/>
      <charset val="163"/>
    </font>
    <font>
      <sz val="10"/>
      <name val="Calibri"/>
      <family val="2"/>
      <scheme val="minor"/>
    </font>
    <font>
      <b/>
      <sz val="8"/>
      <name val="Times New Roman"/>
      <family val="1"/>
      <charset val="163"/>
    </font>
    <font>
      <b/>
      <sz val="16"/>
      <name val="Times New Roman"/>
      <family val="1"/>
    </font>
    <font>
      <b/>
      <sz val="10"/>
      <name val="Times New Roman"/>
      <family val="1"/>
    </font>
    <font>
      <sz val="11"/>
      <name val="Calibri"/>
      <family val="2"/>
      <scheme val="minor"/>
    </font>
    <font>
      <b/>
      <sz val="11"/>
      <name val="Calibri"/>
      <family val="2"/>
      <scheme val="minor"/>
    </font>
    <font>
      <sz val="14"/>
      <name val="Calibri"/>
      <family val="2"/>
      <scheme val="minor"/>
    </font>
    <font>
      <sz val="14"/>
      <name val="VNI-Times"/>
    </font>
    <font>
      <sz val="9"/>
      <name val="VNI-Times"/>
    </font>
    <font>
      <sz val="9"/>
      <name val="Calibri"/>
      <family val="2"/>
      <scheme val="minor"/>
    </font>
    <font>
      <i/>
      <sz val="14"/>
      <name val="Times New Roman"/>
      <family val="1"/>
      <charset val="163"/>
    </font>
    <font>
      <sz val="8"/>
      <name val="Times New Roman"/>
      <family val="1"/>
    </font>
    <font>
      <b/>
      <sz val="8"/>
      <name val="VNI-Times"/>
    </font>
    <font>
      <b/>
      <u/>
      <sz val="14"/>
      <name val="Times New Roman"/>
      <family val="1"/>
    </font>
    <font>
      <sz val="16"/>
      <name val="Times New Roman"/>
      <family val="1"/>
    </font>
    <font>
      <b/>
      <sz val="9"/>
      <name val="Times New Roman"/>
      <family val="1"/>
    </font>
    <font>
      <b/>
      <sz val="8"/>
      <name val="Times New Roman"/>
      <family val="1"/>
    </font>
    <font>
      <sz val="8"/>
      <name val="VNI-Times"/>
    </font>
    <font>
      <sz val="8"/>
      <name val="Calibri"/>
      <family val="2"/>
      <scheme val="minor"/>
    </font>
    <font>
      <b/>
      <i/>
      <sz val="12"/>
      <name val="Times New Roman"/>
      <family val="1"/>
    </font>
    <font>
      <i/>
      <sz val="10"/>
      <name val="Times New Roman"/>
      <family val="1"/>
    </font>
    <font>
      <i/>
      <sz val="12"/>
      <name val="Times New Roman"/>
      <family val="1"/>
    </font>
    <font>
      <sz val="14"/>
      <color rgb="FFFF0000"/>
      <name val="Times New Roman"/>
      <family val="1"/>
      <charset val="163"/>
    </font>
    <font>
      <sz val="14"/>
      <color theme="1"/>
      <name val="Times New Roman"/>
      <family val="2"/>
    </font>
    <font>
      <b/>
      <sz val="14"/>
      <color theme="1"/>
      <name val="Times New Roman"/>
      <family val="1"/>
    </font>
    <font>
      <b/>
      <sz val="16"/>
      <color theme="1"/>
      <name val="Times New Roman"/>
      <family val="1"/>
    </font>
    <font>
      <b/>
      <sz val="12"/>
      <color indexed="8"/>
      <name val="Times New Roman"/>
      <family val="1"/>
    </font>
    <font>
      <sz val="12"/>
      <name val="VNI-Times"/>
    </font>
    <font>
      <b/>
      <sz val="12"/>
      <color theme="1"/>
      <name val="Times New Roman"/>
      <family val="1"/>
    </font>
    <font>
      <b/>
      <i/>
      <sz val="14"/>
      <color theme="1"/>
      <name val="Times New Roman"/>
      <family val="1"/>
    </font>
    <font>
      <b/>
      <i/>
      <sz val="14"/>
      <color indexed="8"/>
      <name val="Times New Roman"/>
      <family val="1"/>
    </font>
    <font>
      <sz val="7"/>
      <color indexed="8"/>
      <name val="Times New Roman"/>
      <family val="1"/>
    </font>
    <font>
      <sz val="8"/>
      <color indexed="8"/>
      <name val="Times New Roman"/>
      <family val="1"/>
    </font>
    <font>
      <sz val="14"/>
      <color indexed="8"/>
      <name val="Times New Roman"/>
      <family val="1"/>
    </font>
    <font>
      <b/>
      <sz val="14"/>
      <color indexed="8"/>
      <name val="Times New Roman"/>
      <family val="1"/>
    </font>
    <font>
      <i/>
      <sz val="14"/>
      <color indexed="8"/>
      <name val="Times New Roman"/>
      <family val="1"/>
    </font>
  </fonts>
  <fills count="4">
    <fill>
      <patternFill patternType="none"/>
    </fill>
    <fill>
      <patternFill patternType="gray125"/>
    </fill>
    <fill>
      <patternFill patternType="solid">
        <fgColor theme="0"/>
        <bgColor indexed="64"/>
      </patternFill>
    </fill>
    <fill>
      <patternFill patternType="solid">
        <fgColor rgb="FFFFC000"/>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indexed="64"/>
      </right>
      <top style="thin">
        <color auto="1"/>
      </top>
      <bottom style="thin">
        <color indexed="64"/>
      </bottom>
      <diagonal/>
    </border>
    <border>
      <left style="thin">
        <color auto="1"/>
      </left>
      <right style="thin">
        <color indexed="64"/>
      </right>
      <top style="thin">
        <color auto="1"/>
      </top>
      <bottom style="thin">
        <color indexed="64"/>
      </bottom>
      <diagonal/>
    </border>
    <border>
      <left/>
      <right/>
      <top style="thin">
        <color indexed="64"/>
      </top>
      <bottom style="thin">
        <color indexed="64"/>
      </bottom>
      <diagonal/>
    </border>
    <border>
      <left/>
      <right/>
      <top style="thin">
        <color indexed="64"/>
      </top>
      <bottom style="thin">
        <color auto="1"/>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indexed="64"/>
      </right>
      <top style="thin">
        <color auto="1"/>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thin">
        <color indexed="64"/>
      </bottom>
      <diagonal/>
    </border>
    <border>
      <left/>
      <right/>
      <top style="thin">
        <color auto="1"/>
      </top>
      <bottom style="thin">
        <color indexed="64"/>
      </bottom>
      <diagonal/>
    </border>
    <border>
      <left style="thin">
        <color auto="1"/>
      </left>
      <right style="thin">
        <color auto="1"/>
      </right>
      <top style="thin">
        <color auto="1"/>
      </top>
      <bottom style="thin">
        <color auto="1"/>
      </bottom>
      <diagonal/>
    </border>
  </borders>
  <cellStyleXfs count="9">
    <xf numFmtId="0" fontId="0" fillId="0" borderId="0"/>
    <xf numFmtId="166" fontId="16" fillId="0" borderId="0" applyFont="0" applyFill="0" applyBorder="0" applyAlignment="0" applyProtection="0"/>
    <xf numFmtId="0" fontId="17" fillId="0" borderId="0">
      <alignment horizontal="center"/>
    </xf>
    <xf numFmtId="0" fontId="17" fillId="0" borderId="0">
      <alignment horizontal="center" textRotation="90"/>
    </xf>
    <xf numFmtId="9" fontId="16" fillId="0" borderId="0" applyFont="0" applyFill="0" applyBorder="0" applyAlignment="0" applyProtection="0"/>
    <xf numFmtId="0" fontId="18" fillId="0" borderId="0"/>
    <xf numFmtId="167" fontId="18" fillId="0" borderId="0"/>
    <xf numFmtId="0" fontId="22" fillId="0" borderId="0"/>
    <xf numFmtId="0" fontId="23" fillId="0" borderId="0"/>
  </cellStyleXfs>
  <cellXfs count="417">
    <xf numFmtId="0" fontId="0" fillId="0" borderId="0" xfId="0"/>
    <xf numFmtId="0" fontId="6" fillId="0" borderId="0" xfId="0" applyFont="1" applyFill="1"/>
    <xf numFmtId="0" fontId="3" fillId="0" borderId="0" xfId="0" applyFont="1" applyFill="1" applyAlignment="1">
      <alignment horizontal="center"/>
    </xf>
    <xf numFmtId="0" fontId="1" fillId="0" borderId="0" xfId="0" applyFont="1" applyFill="1"/>
    <xf numFmtId="0" fontId="7" fillId="0" borderId="0" xfId="0" applyFont="1" applyFill="1" applyAlignment="1">
      <alignment horizontal="center"/>
    </xf>
    <xf numFmtId="0" fontId="13" fillId="0" borderId="0" xfId="0" applyFont="1" applyFill="1" applyAlignment="1">
      <alignment horizontal="center"/>
    </xf>
    <xf numFmtId="4" fontId="6" fillId="0" borderId="0" xfId="0" applyNumberFormat="1" applyFont="1" applyFill="1"/>
    <xf numFmtId="0" fontId="4" fillId="0" borderId="15" xfId="0" applyFont="1" applyFill="1" applyBorder="1" applyAlignment="1">
      <alignment horizontal="center" vertical="center"/>
    </xf>
    <xf numFmtId="0" fontId="11" fillId="0" borderId="0" xfId="0" applyFont="1" applyFill="1"/>
    <xf numFmtId="0" fontId="4"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29" fillId="0" borderId="0" xfId="0" applyFont="1" applyFill="1"/>
    <xf numFmtId="0" fontId="3" fillId="0" borderId="2" xfId="0" applyFont="1" applyFill="1" applyBorder="1" applyAlignment="1">
      <alignment horizontal="center" vertical="center"/>
    </xf>
    <xf numFmtId="0" fontId="13" fillId="0" borderId="2" xfId="0" applyFont="1" applyFill="1" applyBorder="1" applyAlignment="1">
      <alignment horizontal="center" vertical="center"/>
    </xf>
    <xf numFmtId="3" fontId="3" fillId="0" borderId="2" xfId="0" applyNumberFormat="1" applyFont="1" applyFill="1" applyBorder="1" applyAlignment="1">
      <alignment horizontal="center" vertical="center"/>
    </xf>
    <xf numFmtId="0" fontId="30" fillId="0" borderId="8" xfId="0" applyFont="1" applyFill="1" applyBorder="1" applyAlignment="1">
      <alignment horizontal="center"/>
    </xf>
    <xf numFmtId="0" fontId="28" fillId="0" borderId="0" xfId="0" applyFont="1" applyFill="1" applyBorder="1" applyAlignment="1">
      <alignment horizontal="center"/>
    </xf>
    <xf numFmtId="0" fontId="29" fillId="0" borderId="0" xfId="0" applyFont="1" applyFill="1" applyBorder="1"/>
    <xf numFmtId="0" fontId="4" fillId="0" borderId="4" xfId="0" applyFont="1" applyFill="1" applyBorder="1" applyAlignment="1"/>
    <xf numFmtId="0" fontId="4" fillId="0" borderId="6" xfId="0" applyFont="1" applyFill="1" applyBorder="1" applyAlignment="1">
      <alignment horizontal="center"/>
    </xf>
    <xf numFmtId="0" fontId="26" fillId="0" borderId="2" xfId="0" applyFont="1" applyFill="1" applyBorder="1" applyAlignment="1">
      <alignment horizontal="center"/>
    </xf>
    <xf numFmtId="4" fontId="26" fillId="0" borderId="2" xfId="0" applyNumberFormat="1" applyFont="1" applyFill="1" applyBorder="1" applyAlignment="1">
      <alignment horizontal="center"/>
    </xf>
    <xf numFmtId="4" fontId="4" fillId="0" borderId="2" xfId="0" applyNumberFormat="1" applyFont="1" applyFill="1" applyBorder="1" applyAlignment="1">
      <alignment vertical="center"/>
    </xf>
    <xf numFmtId="175" fontId="4" fillId="0" borderId="2" xfId="0" applyNumberFormat="1" applyFont="1" applyFill="1" applyBorder="1" applyAlignment="1">
      <alignment vertical="center"/>
    </xf>
    <xf numFmtId="3" fontId="4" fillId="0" borderId="2" xfId="0" applyNumberFormat="1" applyFont="1" applyFill="1" applyBorder="1" applyAlignment="1">
      <alignment vertical="center"/>
    </xf>
    <xf numFmtId="172" fontId="31" fillId="0" borderId="0" xfId="0" applyNumberFormat="1" applyFont="1" applyFill="1"/>
    <xf numFmtId="3" fontId="31" fillId="0" borderId="0" xfId="0" applyNumberFormat="1" applyFont="1" applyFill="1" applyBorder="1"/>
    <xf numFmtId="173" fontId="15" fillId="0" borderId="0" xfId="1" applyNumberFormat="1" applyFont="1" applyFill="1" applyBorder="1"/>
    <xf numFmtId="3" fontId="15" fillId="0" borderId="0" xfId="1" applyNumberFormat="1" applyFont="1" applyFill="1" applyBorder="1"/>
    <xf numFmtId="173" fontId="31" fillId="0" borderId="0" xfId="0" applyNumberFormat="1" applyFont="1" applyFill="1"/>
    <xf numFmtId="0" fontId="31" fillId="0" borderId="0" xfId="0" applyFont="1" applyFill="1"/>
    <xf numFmtId="172" fontId="6" fillId="0" borderId="0" xfId="0" applyNumberFormat="1" applyFont="1" applyFill="1"/>
    <xf numFmtId="0" fontId="3" fillId="0" borderId="2" xfId="0" quotePrefix="1" applyFont="1" applyFill="1" applyBorder="1" applyAlignment="1">
      <alignment horizontal="center"/>
    </xf>
    <xf numFmtId="0" fontId="3" fillId="0" borderId="2" xfId="0" applyFont="1" applyFill="1" applyBorder="1"/>
    <xf numFmtId="3" fontId="3" fillId="0" borderId="2" xfId="0" applyNumberFormat="1" applyFont="1" applyFill="1" applyBorder="1" applyAlignment="1">
      <alignment horizontal="center"/>
    </xf>
    <xf numFmtId="17" fontId="13" fillId="0" borderId="2" xfId="0" quotePrefix="1" applyNumberFormat="1" applyFont="1" applyFill="1" applyBorder="1" applyAlignment="1">
      <alignment horizontal="center"/>
    </xf>
    <xf numFmtId="0" fontId="13" fillId="0" borderId="2" xfId="0" quotePrefix="1" applyFont="1" applyFill="1" applyBorder="1" applyAlignment="1">
      <alignment horizontal="center"/>
    </xf>
    <xf numFmtId="4" fontId="3" fillId="0" borderId="2" xfId="0" applyNumberFormat="1" applyFont="1" applyFill="1" applyBorder="1"/>
    <xf numFmtId="170" fontId="3" fillId="0" borderId="2" xfId="0" applyNumberFormat="1" applyFont="1" applyFill="1" applyBorder="1"/>
    <xf numFmtId="175" fontId="3" fillId="0" borderId="2" xfId="0" applyNumberFormat="1" applyFont="1" applyFill="1" applyBorder="1" applyAlignment="1">
      <alignment horizontal="right"/>
    </xf>
    <xf numFmtId="3" fontId="3" fillId="0" borderId="2" xfId="0" applyNumberFormat="1" applyFont="1" applyFill="1" applyBorder="1"/>
    <xf numFmtId="9" fontId="3" fillId="0" borderId="2" xfId="0" applyNumberFormat="1" applyFont="1" applyFill="1" applyBorder="1" applyAlignment="1"/>
    <xf numFmtId="0" fontId="3" fillId="0" borderId="2" xfId="0" applyFont="1" applyFill="1" applyBorder="1" applyAlignment="1">
      <alignment horizontal="center"/>
    </xf>
    <xf numFmtId="169" fontId="3" fillId="0" borderId="2" xfId="0" applyNumberFormat="1" applyFont="1" applyFill="1" applyBorder="1"/>
    <xf numFmtId="3" fontId="3" fillId="0" borderId="2" xfId="0" applyNumberFormat="1" applyFont="1" applyFill="1" applyBorder="1" applyAlignment="1">
      <alignment horizontal="right"/>
    </xf>
    <xf numFmtId="3" fontId="3" fillId="0" borderId="0" xfId="0" applyNumberFormat="1" applyFont="1" applyFill="1" applyBorder="1"/>
    <xf numFmtId="3" fontId="6" fillId="0" borderId="0" xfId="0" applyNumberFormat="1" applyFont="1" applyFill="1"/>
    <xf numFmtId="3" fontId="13" fillId="0" borderId="2" xfId="0" quotePrefix="1" applyNumberFormat="1" applyFont="1" applyFill="1" applyBorder="1" applyAlignment="1">
      <alignment horizontal="center"/>
    </xf>
    <xf numFmtId="4" fontId="3" fillId="0" borderId="2" xfId="0" applyNumberFormat="1" applyFont="1" applyFill="1" applyBorder="1" applyAlignment="1"/>
    <xf numFmtId="170" fontId="3" fillId="0" borderId="2" xfId="0" applyNumberFormat="1" applyFont="1" applyFill="1" applyBorder="1" applyAlignment="1"/>
    <xf numFmtId="1" fontId="3" fillId="0" borderId="2" xfId="0" quotePrefix="1" applyNumberFormat="1" applyFont="1" applyFill="1" applyBorder="1" applyAlignment="1">
      <alignment horizontal="center"/>
    </xf>
    <xf numFmtId="3" fontId="15" fillId="0" borderId="0" xfId="1" applyNumberFormat="1" applyFont="1" applyFill="1" applyBorder="1" applyAlignment="1">
      <alignment horizontal="center"/>
    </xf>
    <xf numFmtId="1" fontId="3" fillId="0" borderId="2" xfId="0" applyNumberFormat="1" applyFont="1" applyFill="1" applyBorder="1" applyAlignment="1">
      <alignment horizontal="center"/>
    </xf>
    <xf numFmtId="3" fontId="15" fillId="0" borderId="0" xfId="0" applyNumberFormat="1" applyFont="1" applyFill="1" applyBorder="1"/>
    <xf numFmtId="173" fontId="6" fillId="0" borderId="0" xfId="0" applyNumberFormat="1" applyFont="1" applyFill="1"/>
    <xf numFmtId="4" fontId="3" fillId="0" borderId="18" xfId="0" applyNumberFormat="1" applyFont="1" applyFill="1" applyBorder="1"/>
    <xf numFmtId="3" fontId="3" fillId="0" borderId="18" xfId="0" applyNumberFormat="1" applyFont="1" applyFill="1" applyBorder="1" applyAlignment="1">
      <alignment horizontal="center"/>
    </xf>
    <xf numFmtId="175" fontId="3" fillId="0" borderId="2" xfId="0" applyNumberFormat="1" applyFont="1" applyFill="1" applyBorder="1" applyAlignment="1">
      <alignment horizontal="center"/>
    </xf>
    <xf numFmtId="0" fontId="31" fillId="0" borderId="0" xfId="0" applyFont="1" applyFill="1" applyBorder="1"/>
    <xf numFmtId="3" fontId="31" fillId="0" borderId="0" xfId="0" applyNumberFormat="1" applyFont="1" applyFill="1"/>
    <xf numFmtId="0" fontId="3" fillId="0" borderId="0" xfId="0" applyFont="1" applyFill="1"/>
    <xf numFmtId="173" fontId="32" fillId="0" borderId="0" xfId="1" applyNumberFormat="1" applyFont="1" applyFill="1" applyBorder="1" applyAlignment="1">
      <alignment vertical="center"/>
    </xf>
    <xf numFmtId="172" fontId="32" fillId="0" borderId="0" xfId="1" applyNumberFormat="1" applyFont="1" applyFill="1" applyBorder="1" applyAlignment="1">
      <alignment vertical="center" wrapText="1"/>
    </xf>
    <xf numFmtId="3" fontId="31" fillId="0" borderId="0" xfId="1" applyNumberFormat="1" applyFont="1" applyFill="1" applyBorder="1" applyAlignment="1">
      <alignment vertical="center" wrapText="1"/>
    </xf>
    <xf numFmtId="0" fontId="3" fillId="0" borderId="2" xfId="0" applyFont="1" applyFill="1" applyBorder="1" applyAlignment="1"/>
    <xf numFmtId="3" fontId="32" fillId="0" borderId="0" xfId="0" applyNumberFormat="1" applyFont="1" applyFill="1" applyBorder="1" applyAlignment="1"/>
    <xf numFmtId="0" fontId="3" fillId="0" borderId="2" xfId="0" applyFont="1" applyFill="1" applyBorder="1" applyAlignment="1">
      <alignment wrapText="1"/>
    </xf>
    <xf numFmtId="4" fontId="3" fillId="0" borderId="2" xfId="0" applyNumberFormat="1" applyFont="1" applyFill="1" applyBorder="1" applyAlignment="1">
      <alignment horizontal="right"/>
    </xf>
    <xf numFmtId="169" fontId="3" fillId="0" borderId="2" xfId="0" applyNumberFormat="1" applyFont="1" applyFill="1" applyBorder="1" applyAlignment="1"/>
    <xf numFmtId="0" fontId="10" fillId="0" borderId="2" xfId="0" applyFont="1" applyFill="1" applyBorder="1" applyAlignment="1">
      <alignment wrapText="1"/>
    </xf>
    <xf numFmtId="9" fontId="11" fillId="0" borderId="2" xfId="0" applyNumberFormat="1" applyFont="1" applyFill="1" applyBorder="1" applyAlignment="1">
      <alignment horizontal="center"/>
    </xf>
    <xf numFmtId="175" fontId="25" fillId="0" borderId="2" xfId="0" applyNumberFormat="1" applyFont="1" applyFill="1" applyBorder="1" applyAlignment="1"/>
    <xf numFmtId="0" fontId="6" fillId="0" borderId="0" xfId="0" applyFont="1" applyFill="1" applyBorder="1"/>
    <xf numFmtId="0" fontId="6" fillId="0" borderId="0" xfId="0" applyFont="1" applyFill="1" applyAlignment="1"/>
    <xf numFmtId="4" fontId="3" fillId="0" borderId="18" xfId="0" applyNumberFormat="1" applyFont="1" applyFill="1" applyBorder="1" applyAlignment="1">
      <alignment horizontal="right"/>
    </xf>
    <xf numFmtId="3" fontId="3" fillId="0" borderId="18" xfId="0" applyNumberFormat="1" applyFont="1" applyFill="1" applyBorder="1" applyAlignment="1">
      <alignment horizontal="right"/>
    </xf>
    <xf numFmtId="0" fontId="1" fillId="0" borderId="2" xfId="0" applyFont="1" applyFill="1" applyBorder="1"/>
    <xf numFmtId="9" fontId="3" fillId="0" borderId="18" xfId="0" applyNumberFormat="1" applyFont="1" applyFill="1" applyBorder="1" applyAlignment="1"/>
    <xf numFmtId="3" fontId="29" fillId="0" borderId="0" xfId="0" applyNumberFormat="1" applyFont="1" applyFill="1" applyBorder="1"/>
    <xf numFmtId="173" fontId="29" fillId="0" borderId="0" xfId="0" applyNumberFormat="1" applyFont="1" applyFill="1" applyBorder="1"/>
    <xf numFmtId="3" fontId="6" fillId="0" borderId="0" xfId="0" applyNumberFormat="1" applyFont="1" applyFill="1" applyBorder="1"/>
    <xf numFmtId="2" fontId="4" fillId="0" borderId="18" xfId="0" applyNumberFormat="1" applyFont="1" applyFill="1" applyBorder="1" applyAlignment="1"/>
    <xf numFmtId="2" fontId="4" fillId="0" borderId="18" xfId="0" applyNumberFormat="1" applyFont="1" applyFill="1" applyBorder="1" applyAlignment="1">
      <alignment horizontal="center"/>
    </xf>
    <xf numFmtId="2" fontId="4" fillId="0" borderId="18" xfId="0" quotePrefix="1" applyNumberFormat="1" applyFont="1" applyFill="1" applyBorder="1" applyAlignment="1">
      <alignment horizontal="center"/>
    </xf>
    <xf numFmtId="2" fontId="4" fillId="0" borderId="18" xfId="0" applyNumberFormat="1" applyFont="1" applyFill="1" applyBorder="1" applyAlignment="1">
      <alignment horizontal="right"/>
    </xf>
    <xf numFmtId="0" fontId="5" fillId="0" borderId="0" xfId="0" applyFont="1" applyFill="1"/>
    <xf numFmtId="0" fontId="3" fillId="0" borderId="16" xfId="0" quotePrefix="1" applyFont="1" applyFill="1" applyBorder="1" applyAlignment="1">
      <alignment horizontal="center"/>
    </xf>
    <xf numFmtId="0" fontId="3" fillId="0" borderId="18" xfId="0" applyFont="1" applyFill="1" applyBorder="1"/>
    <xf numFmtId="3" fontId="3" fillId="0" borderId="18" xfId="0" quotePrefix="1" applyNumberFormat="1" applyFont="1" applyFill="1" applyBorder="1" applyAlignment="1">
      <alignment horizontal="center"/>
    </xf>
    <xf numFmtId="17" fontId="3" fillId="0" borderId="18" xfId="7" quotePrefix="1" applyNumberFormat="1" applyFont="1" applyFill="1" applyBorder="1" applyAlignment="1">
      <alignment horizontal="right"/>
    </xf>
    <xf numFmtId="4" fontId="3" fillId="0" borderId="18" xfId="0" applyNumberFormat="1" applyFont="1" applyFill="1" applyBorder="1" applyAlignment="1"/>
    <xf numFmtId="170" fontId="3" fillId="0" borderId="18" xfId="0" applyNumberFormat="1" applyFont="1" applyFill="1" applyBorder="1" applyAlignment="1"/>
    <xf numFmtId="1" fontId="3" fillId="0" borderId="18" xfId="0" quotePrefix="1" applyNumberFormat="1" applyFont="1" applyFill="1" applyBorder="1" applyAlignment="1">
      <alignment horizontal="center"/>
    </xf>
    <xf numFmtId="175" fontId="3" fillId="0" borderId="18" xfId="0" applyNumberFormat="1" applyFont="1" applyFill="1" applyBorder="1" applyAlignment="1">
      <alignment horizontal="right"/>
    </xf>
    <xf numFmtId="0" fontId="3" fillId="0" borderId="18" xfId="0" applyNumberFormat="1" applyFont="1" applyFill="1" applyBorder="1"/>
    <xf numFmtId="3" fontId="3" fillId="0" borderId="18" xfId="0" applyNumberFormat="1" applyFont="1" applyFill="1" applyBorder="1"/>
    <xf numFmtId="0" fontId="3" fillId="0" borderId="18" xfId="0" applyFont="1" applyFill="1" applyBorder="1" applyAlignment="1">
      <alignment horizontal="center"/>
    </xf>
    <xf numFmtId="169" fontId="3" fillId="0" borderId="18" xfId="0" applyNumberFormat="1" applyFont="1" applyFill="1" applyBorder="1"/>
    <xf numFmtId="0" fontId="3" fillId="0" borderId="0" xfId="0" applyFont="1" applyFill="1" applyBorder="1"/>
    <xf numFmtId="0" fontId="30" fillId="0" borderId="0" xfId="0" applyFont="1" applyFill="1" applyBorder="1"/>
    <xf numFmtId="3" fontId="30" fillId="0" borderId="0" xfId="0" applyNumberFormat="1" applyFont="1" applyFill="1" applyBorder="1"/>
    <xf numFmtId="173" fontId="30" fillId="0" borderId="0" xfId="0" applyNumberFormat="1" applyFont="1" applyFill="1"/>
    <xf numFmtId="0" fontId="30" fillId="0" borderId="0" xfId="0" applyFont="1" applyFill="1"/>
    <xf numFmtId="172" fontId="5" fillId="0" borderId="0" xfId="0" applyNumberFormat="1" applyFont="1" applyFill="1"/>
    <xf numFmtId="3" fontId="5" fillId="0" borderId="0" xfId="0" applyNumberFormat="1" applyFont="1" applyFill="1"/>
    <xf numFmtId="0" fontId="34" fillId="0" borderId="0" xfId="0" applyFont="1" applyFill="1"/>
    <xf numFmtId="172" fontId="3" fillId="0" borderId="0" xfId="0" applyNumberFormat="1" applyFont="1" applyFill="1"/>
    <xf numFmtId="3" fontId="3" fillId="0" borderId="0" xfId="0" applyNumberFormat="1" applyFont="1" applyFill="1"/>
    <xf numFmtId="0" fontId="13" fillId="0" borderId="18" xfId="0" applyFont="1" applyFill="1" applyBorder="1" applyAlignment="1">
      <alignment wrapText="1"/>
    </xf>
    <xf numFmtId="0" fontId="4" fillId="0" borderId="2" xfId="0" applyFont="1" applyFill="1" applyBorder="1" applyAlignment="1">
      <alignment horizontal="center"/>
    </xf>
    <xf numFmtId="4" fontId="4" fillId="0" borderId="2" xfId="0" applyNumberFormat="1" applyFont="1" applyFill="1" applyBorder="1" applyAlignment="1">
      <alignment horizontal="right"/>
    </xf>
    <xf numFmtId="175" fontId="4" fillId="0" borderId="2" xfId="0" applyNumberFormat="1" applyFont="1" applyFill="1" applyBorder="1" applyAlignment="1">
      <alignment horizontal="right"/>
    </xf>
    <xf numFmtId="3" fontId="4" fillId="0" borderId="2" xfId="0" applyNumberFormat="1" applyFont="1" applyFill="1" applyBorder="1" applyAlignment="1">
      <alignment horizontal="right"/>
    </xf>
    <xf numFmtId="176" fontId="4" fillId="0" borderId="2" xfId="0" applyNumberFormat="1" applyFont="1" applyFill="1" applyBorder="1" applyAlignment="1">
      <alignment horizontal="right"/>
    </xf>
    <xf numFmtId="0" fontId="1" fillId="0" borderId="0" xfId="0" applyFont="1" applyFill="1" applyBorder="1" applyAlignment="1">
      <alignment horizontal="center"/>
    </xf>
    <xf numFmtId="0" fontId="1" fillId="0" borderId="0" xfId="0" applyFont="1" applyFill="1" applyAlignment="1">
      <alignment horizontal="center"/>
    </xf>
    <xf numFmtId="4" fontId="1" fillId="0" borderId="0" xfId="0" applyNumberFormat="1" applyFont="1" applyFill="1"/>
    <xf numFmtId="174" fontId="13" fillId="0" borderId="0" xfId="4" applyNumberFormat="1" applyFont="1" applyFill="1" applyAlignment="1">
      <alignment horizontal="center"/>
    </xf>
    <xf numFmtId="171" fontId="7" fillId="0" borderId="0" xfId="1" applyNumberFormat="1" applyFont="1" applyFill="1"/>
    <xf numFmtId="0" fontId="2" fillId="0" borderId="0" xfId="0" applyFont="1" applyFill="1" applyBorder="1" applyAlignment="1">
      <alignment horizontal="center"/>
    </xf>
    <xf numFmtId="9" fontId="5" fillId="0" borderId="0" xfId="0" applyNumberFormat="1" applyFont="1" applyFill="1" applyAlignment="1"/>
    <xf numFmtId="0" fontId="2" fillId="0" borderId="0" xfId="0" applyFont="1" applyFill="1"/>
    <xf numFmtId="0" fontId="6" fillId="0" borderId="0" xfId="0" applyFont="1" applyFill="1" applyAlignment="1">
      <alignment wrapText="1"/>
    </xf>
    <xf numFmtId="174" fontId="26" fillId="0" borderId="0" xfId="4" applyNumberFormat="1" applyFont="1" applyFill="1" applyAlignment="1"/>
    <xf numFmtId="0" fontId="15" fillId="0" borderId="0" xfId="7" applyFont="1" applyFill="1" applyAlignment="1">
      <alignment horizontal="center"/>
    </xf>
    <xf numFmtId="3" fontId="15" fillId="0" borderId="0" xfId="7" applyNumberFormat="1" applyFont="1" applyFill="1"/>
    <xf numFmtId="0" fontId="13" fillId="0" borderId="27" xfId="0" quotePrefix="1" applyFont="1" applyFill="1" applyBorder="1" applyAlignment="1">
      <alignment horizontal="right"/>
    </xf>
    <xf numFmtId="0" fontId="13" fillId="0" borderId="0" xfId="0" applyFont="1" applyFill="1"/>
    <xf numFmtId="170" fontId="3" fillId="0" borderId="18" xfId="0" applyNumberFormat="1" applyFont="1" applyFill="1" applyBorder="1"/>
    <xf numFmtId="1" fontId="3" fillId="0" borderId="19" xfId="0" applyNumberFormat="1" applyFont="1" applyFill="1" applyBorder="1" applyAlignment="1">
      <alignment horizontal="center"/>
    </xf>
    <xf numFmtId="170" fontId="3" fillId="0" borderId="2" xfId="0" quotePrefix="1" applyNumberFormat="1" applyFont="1" applyFill="1" applyBorder="1"/>
    <xf numFmtId="173" fontId="31" fillId="0" borderId="0" xfId="1" applyNumberFormat="1" applyFont="1" applyFill="1" applyBorder="1" applyAlignment="1">
      <alignment vertical="center"/>
    </xf>
    <xf numFmtId="3" fontId="3" fillId="0" borderId="2" xfId="0" quotePrefix="1" applyNumberFormat="1" applyFont="1" applyFill="1" applyBorder="1" applyAlignment="1">
      <alignment horizontal="center"/>
    </xf>
    <xf numFmtId="9" fontId="3" fillId="0" borderId="2" xfId="4" applyFont="1" applyFill="1" applyBorder="1" applyAlignment="1">
      <alignment horizontal="center"/>
    </xf>
    <xf numFmtId="3" fontId="13" fillId="0" borderId="28" xfId="0" quotePrefix="1" applyNumberFormat="1" applyFont="1" applyFill="1" applyBorder="1" applyAlignment="1">
      <alignment horizontal="right"/>
    </xf>
    <xf numFmtId="3" fontId="13" fillId="0" borderId="27" xfId="0" quotePrefix="1" applyNumberFormat="1" applyFont="1" applyFill="1" applyBorder="1" applyAlignment="1">
      <alignment horizontal="right"/>
    </xf>
    <xf numFmtId="17" fontId="13" fillId="0" borderId="27" xfId="0" quotePrefix="1" applyNumberFormat="1" applyFont="1" applyFill="1" applyBorder="1" applyAlignment="1">
      <alignment horizontal="right"/>
    </xf>
    <xf numFmtId="0" fontId="3" fillId="0" borderId="27" xfId="0" quotePrefix="1" applyFont="1" applyFill="1" applyBorder="1" applyAlignment="1">
      <alignment horizontal="right"/>
    </xf>
    <xf numFmtId="4" fontId="3" fillId="0" borderId="29" xfId="0" applyNumberFormat="1" applyFont="1" applyFill="1" applyBorder="1" applyAlignment="1">
      <alignment horizontal="right"/>
    </xf>
    <xf numFmtId="0" fontId="11" fillId="0" borderId="31" xfId="0" applyFont="1" applyFill="1" applyBorder="1" applyAlignment="1">
      <alignment horizontal="left"/>
    </xf>
    <xf numFmtId="3" fontId="36" fillId="0" borderId="0" xfId="0" applyNumberFormat="1" applyFont="1" applyFill="1" applyBorder="1" applyAlignment="1"/>
    <xf numFmtId="3" fontId="37" fillId="0" borderId="31" xfId="0" applyNumberFormat="1" applyFont="1" applyFill="1" applyBorder="1" applyAlignment="1">
      <alignment horizontal="right"/>
    </xf>
    <xf numFmtId="0" fontId="12" fillId="0" borderId="0" xfId="0" applyFont="1" applyFill="1"/>
    <xf numFmtId="14" fontId="13" fillId="0" borderId="27" xfId="0" quotePrefix="1" applyNumberFormat="1" applyFont="1" applyFill="1" applyBorder="1" applyAlignment="1">
      <alignment horizontal="right"/>
    </xf>
    <xf numFmtId="173" fontId="30" fillId="0" borderId="0" xfId="0" applyNumberFormat="1" applyFont="1" applyFill="1" applyBorder="1"/>
    <xf numFmtId="172" fontId="5" fillId="0" borderId="0" xfId="0" applyNumberFormat="1" applyFont="1" applyFill="1" applyBorder="1"/>
    <xf numFmtId="3" fontId="5" fillId="0" borderId="0" xfId="0" applyNumberFormat="1" applyFont="1" applyFill="1" applyBorder="1"/>
    <xf numFmtId="4" fontId="3" fillId="0" borderId="17" xfId="0" applyNumberFormat="1" applyFont="1" applyFill="1" applyBorder="1"/>
    <xf numFmtId="170" fontId="3" fillId="0" borderId="17" xfId="0" applyNumberFormat="1" applyFont="1" applyFill="1" applyBorder="1"/>
    <xf numFmtId="3" fontId="3" fillId="0" borderId="17" xfId="0" applyNumberFormat="1" applyFont="1" applyFill="1" applyBorder="1" applyAlignment="1">
      <alignment horizontal="center"/>
    </xf>
    <xf numFmtId="1" fontId="3" fillId="0" borderId="17" xfId="0" applyNumberFormat="1" applyFont="1" applyFill="1" applyBorder="1" applyAlignment="1">
      <alignment horizontal="center"/>
    </xf>
    <xf numFmtId="9" fontId="3" fillId="0" borderId="17" xfId="0" applyNumberFormat="1" applyFont="1" applyFill="1" applyBorder="1" applyAlignment="1"/>
    <xf numFmtId="9" fontId="3" fillId="0" borderId="2" xfId="0" applyNumberFormat="1" applyFont="1" applyFill="1" applyBorder="1" applyAlignment="1">
      <alignment horizontal="center"/>
    </xf>
    <xf numFmtId="170" fontId="3" fillId="0" borderId="2" xfId="0" applyNumberFormat="1" applyFont="1" applyFill="1" applyBorder="1" applyAlignment="1">
      <alignment horizontal="left"/>
    </xf>
    <xf numFmtId="4" fontId="3" fillId="0" borderId="20" xfId="0" applyNumberFormat="1" applyFont="1" applyFill="1" applyBorder="1" applyAlignment="1"/>
    <xf numFmtId="4" fontId="3" fillId="0" borderId="2" xfId="1" applyNumberFormat="1" applyFont="1" applyFill="1" applyBorder="1"/>
    <xf numFmtId="4" fontId="3" fillId="0" borderId="24" xfId="0" applyNumberFormat="1" applyFont="1" applyFill="1" applyBorder="1" applyAlignment="1"/>
    <xf numFmtId="0" fontId="3" fillId="0" borderId="24" xfId="0" applyNumberFormat="1" applyFont="1" applyFill="1" applyBorder="1" applyAlignment="1"/>
    <xf numFmtId="1" fontId="3" fillId="0" borderId="24" xfId="0" quotePrefix="1" applyNumberFormat="1" applyFont="1" applyFill="1" applyBorder="1" applyAlignment="1">
      <alignment horizontal="center"/>
    </xf>
    <xf numFmtId="4" fontId="4" fillId="0" borderId="2" xfId="0" quotePrefix="1" applyNumberFormat="1" applyFont="1" applyFill="1" applyBorder="1" applyAlignment="1">
      <alignment horizontal="center"/>
    </xf>
    <xf numFmtId="4" fontId="3" fillId="0" borderId="2" xfId="0" quotePrefix="1" applyNumberFormat="1" applyFont="1" applyFill="1" applyBorder="1" applyAlignment="1">
      <alignment horizontal="right"/>
    </xf>
    <xf numFmtId="9" fontId="2" fillId="0" borderId="2" xfId="0" applyNumberFormat="1" applyFont="1" applyFill="1" applyBorder="1" applyAlignment="1">
      <alignment horizontal="center"/>
    </xf>
    <xf numFmtId="175" fontId="2" fillId="0" borderId="2" xfId="0" applyNumberFormat="1" applyFont="1" applyFill="1" applyBorder="1" applyAlignment="1"/>
    <xf numFmtId="49" fontId="3" fillId="0" borderId="2" xfId="4" applyNumberFormat="1" applyFont="1" applyFill="1" applyBorder="1" applyAlignment="1">
      <alignment horizontal="center"/>
    </xf>
    <xf numFmtId="0" fontId="33" fillId="0" borderId="2" xfId="0" applyFont="1" applyFill="1" applyBorder="1" applyAlignment="1"/>
    <xf numFmtId="0" fontId="1" fillId="0" borderId="2" xfId="0" applyFont="1" applyFill="1" applyBorder="1" applyAlignment="1"/>
    <xf numFmtId="4" fontId="3" fillId="0" borderId="30" xfId="0" applyNumberFormat="1" applyFont="1" applyFill="1" applyBorder="1" applyAlignment="1">
      <alignment horizontal="right"/>
    </xf>
    <xf numFmtId="49" fontId="3" fillId="0" borderId="30" xfId="4" applyNumberFormat="1" applyFont="1" applyFill="1" applyBorder="1" applyAlignment="1">
      <alignment horizontal="center"/>
    </xf>
    <xf numFmtId="175" fontId="3" fillId="0" borderId="30" xfId="0" applyNumberFormat="1" applyFont="1" applyFill="1" applyBorder="1" applyAlignment="1">
      <alignment horizontal="right"/>
    </xf>
    <xf numFmtId="4" fontId="3" fillId="0" borderId="26" xfId="0" applyNumberFormat="1" applyFont="1" applyFill="1" applyBorder="1"/>
    <xf numFmtId="4" fontId="3" fillId="0" borderId="26" xfId="0" applyNumberFormat="1" applyFont="1" applyFill="1" applyBorder="1" applyAlignment="1"/>
    <xf numFmtId="9" fontId="11" fillId="0" borderId="26" xfId="0" applyNumberFormat="1" applyFont="1" applyFill="1" applyBorder="1" applyAlignment="1">
      <alignment horizontal="center"/>
    </xf>
    <xf numFmtId="175" fontId="25" fillId="0" borderId="26" xfId="0" applyNumberFormat="1" applyFont="1" applyFill="1" applyBorder="1" applyAlignment="1"/>
    <xf numFmtId="49" fontId="3" fillId="0" borderId="26" xfId="4" applyNumberFormat="1" applyFont="1" applyFill="1" applyBorder="1" applyAlignment="1">
      <alignment horizontal="center"/>
    </xf>
    <xf numFmtId="175" fontId="3" fillId="0" borderId="26" xfId="0" applyNumberFormat="1" applyFont="1" applyFill="1" applyBorder="1" applyAlignment="1">
      <alignment horizontal="right"/>
    </xf>
    <xf numFmtId="17" fontId="13" fillId="0" borderId="18" xfId="0" quotePrefix="1" applyNumberFormat="1" applyFont="1" applyFill="1" applyBorder="1" applyAlignment="1">
      <alignment horizontal="center"/>
    </xf>
    <xf numFmtId="9" fontId="11" fillId="0" borderId="18" xfId="0" applyNumberFormat="1" applyFont="1" applyFill="1" applyBorder="1" applyAlignment="1">
      <alignment horizontal="center"/>
    </xf>
    <xf numFmtId="175" fontId="25" fillId="0" borderId="18" xfId="0" applyNumberFormat="1" applyFont="1" applyFill="1" applyBorder="1" applyAlignment="1"/>
    <xf numFmtId="49" fontId="3" fillId="0" borderId="18" xfId="4" applyNumberFormat="1" applyFont="1" applyFill="1" applyBorder="1" applyAlignment="1">
      <alignment horizontal="center"/>
    </xf>
    <xf numFmtId="169" fontId="3" fillId="0" borderId="18" xfId="0" applyNumberFormat="1" applyFont="1" applyFill="1" applyBorder="1" applyAlignment="1"/>
    <xf numFmtId="0" fontId="3" fillId="0" borderId="18" xfId="0" applyFont="1" applyFill="1" applyBorder="1" applyAlignment="1"/>
    <xf numFmtId="0" fontId="36" fillId="0" borderId="0" xfId="0" applyFont="1" applyFill="1" applyBorder="1" applyAlignment="1"/>
    <xf numFmtId="0" fontId="6" fillId="0" borderId="0" xfId="0" applyFont="1" applyFill="1" applyAlignment="1">
      <alignment horizontal="center"/>
    </xf>
    <xf numFmtId="3" fontId="37" fillId="0" borderId="31" xfId="0" applyNumberFormat="1" applyFont="1" applyFill="1" applyBorder="1" applyAlignment="1">
      <alignment horizontal="center"/>
    </xf>
    <xf numFmtId="3" fontId="4" fillId="0" borderId="18" xfId="0" applyNumberFormat="1" applyFont="1" applyFill="1" applyBorder="1" applyAlignment="1">
      <alignment horizontal="right"/>
    </xf>
    <xf numFmtId="178" fontId="3" fillId="0" borderId="2" xfId="0" applyNumberFormat="1" applyFont="1" applyFill="1" applyBorder="1"/>
    <xf numFmtId="169" fontId="4" fillId="0" borderId="2" xfId="0" applyNumberFormat="1" applyFont="1" applyFill="1" applyBorder="1" applyAlignment="1">
      <alignment horizontal="right"/>
    </xf>
    <xf numFmtId="1" fontId="3" fillId="0" borderId="2" xfId="4" quotePrefix="1" applyNumberFormat="1" applyFont="1" applyFill="1" applyBorder="1" applyAlignment="1">
      <alignment horizontal="center"/>
    </xf>
    <xf numFmtId="179" fontId="15" fillId="0" borderId="0" xfId="0" applyNumberFormat="1" applyFont="1" applyFill="1" applyAlignment="1">
      <alignment horizontal="center"/>
    </xf>
    <xf numFmtId="0" fontId="15" fillId="0" borderId="0" xfId="0" applyFont="1" applyFill="1"/>
    <xf numFmtId="180" fontId="15" fillId="0" borderId="0" xfId="0" applyNumberFormat="1" applyFont="1" applyFill="1"/>
    <xf numFmtId="179" fontId="11" fillId="0" borderId="0" xfId="0" applyNumberFormat="1" applyFont="1" applyFill="1" applyAlignment="1">
      <alignment horizontal="center"/>
    </xf>
    <xf numFmtId="180" fontId="11" fillId="0" borderId="0" xfId="0" applyNumberFormat="1" applyFont="1" applyFill="1"/>
    <xf numFmtId="172" fontId="15" fillId="0" borderId="0" xfId="1" applyNumberFormat="1" applyFont="1" applyFill="1" applyAlignment="1">
      <alignment horizontal="center"/>
    </xf>
    <xf numFmtId="172" fontId="15" fillId="0" borderId="0" xfId="1" applyNumberFormat="1" applyFont="1" applyFill="1"/>
    <xf numFmtId="0" fontId="39" fillId="0" borderId="0" xfId="0" applyFont="1" applyFill="1"/>
    <xf numFmtId="0" fontId="2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0" xfId="0" applyFont="1" applyFill="1" applyAlignment="1">
      <alignment vertical="center"/>
    </xf>
    <xf numFmtId="0" fontId="40" fillId="0" borderId="31" xfId="0" applyFont="1" applyFill="1" applyBorder="1" applyAlignment="1">
      <alignment vertical="center" wrapText="1"/>
    </xf>
    <xf numFmtId="0" fontId="8" fillId="0" borderId="1" xfId="0" applyFont="1" applyFill="1" applyBorder="1" applyAlignment="1">
      <alignment horizontal="center" vertical="center" wrapText="1"/>
    </xf>
    <xf numFmtId="0" fontId="40" fillId="0" borderId="0" xfId="0" applyFont="1" applyFill="1" applyAlignment="1">
      <alignment horizontal="center"/>
    </xf>
    <xf numFmtId="180" fontId="40" fillId="0" borderId="31" xfId="0" applyNumberFormat="1" applyFont="1" applyFill="1" applyBorder="1" applyAlignment="1">
      <alignment horizontal="center" vertical="center" wrapText="1"/>
    </xf>
    <xf numFmtId="0" fontId="40" fillId="0" borderId="9" xfId="0" applyFont="1" applyFill="1" applyBorder="1" applyAlignment="1">
      <alignment horizontal="center" vertical="center"/>
    </xf>
    <xf numFmtId="180" fontId="40" fillId="0" borderId="9" xfId="0" applyNumberFormat="1" applyFont="1" applyFill="1" applyBorder="1" applyAlignment="1">
      <alignment horizontal="center" vertical="center" wrapText="1"/>
    </xf>
    <xf numFmtId="0" fontId="40" fillId="0" borderId="1" xfId="0" applyFont="1" applyFill="1" applyBorder="1" applyAlignment="1">
      <alignment vertical="center" wrapText="1"/>
    </xf>
    <xf numFmtId="0" fontId="1" fillId="0" borderId="0" xfId="0" applyFont="1" applyFill="1" applyAlignment="1">
      <alignment vertical="center"/>
    </xf>
    <xf numFmtId="0" fontId="40" fillId="0" borderId="0" xfId="0" applyFont="1" applyFill="1" applyAlignment="1">
      <alignment horizontal="center" vertical="center"/>
    </xf>
    <xf numFmtId="0" fontId="36" fillId="0" borderId="31" xfId="0" applyFont="1" applyFill="1" applyBorder="1" applyAlignment="1">
      <alignment horizontal="center" vertical="center" wrapText="1"/>
    </xf>
    <xf numFmtId="0" fontId="36" fillId="0" borderId="0" xfId="0" applyFont="1" applyFill="1" applyBorder="1" applyAlignment="1">
      <alignment horizontal="center" vertical="center"/>
    </xf>
    <xf numFmtId="0" fontId="36" fillId="0" borderId="0" xfId="0" applyFont="1" applyFill="1"/>
    <xf numFmtId="0" fontId="41" fillId="0" borderId="31" xfId="0" applyFont="1" applyFill="1" applyBorder="1" applyAlignment="1"/>
    <xf numFmtId="2" fontId="41" fillId="0" borderId="31" xfId="0" applyNumberFormat="1" applyFont="1" applyFill="1" applyBorder="1" applyAlignment="1"/>
    <xf numFmtId="178" fontId="41" fillId="0" borderId="31" xfId="0" applyNumberFormat="1" applyFont="1" applyFill="1" applyBorder="1" applyAlignment="1"/>
    <xf numFmtId="180" fontId="41" fillId="0" borderId="31" xfId="0" applyNumberFormat="1" applyFont="1" applyFill="1" applyBorder="1" applyAlignment="1"/>
    <xf numFmtId="178" fontId="41" fillId="0" borderId="31" xfId="0" applyNumberFormat="1" applyFont="1" applyFill="1" applyBorder="1" applyAlignment="1">
      <alignment horizontal="right"/>
    </xf>
    <xf numFmtId="175" fontId="41" fillId="0" borderId="31" xfId="0" applyNumberFormat="1" applyFont="1" applyFill="1" applyBorder="1" applyAlignment="1"/>
    <xf numFmtId="3" fontId="41" fillId="0" borderId="31" xfId="0" applyNumberFormat="1" applyFont="1" applyFill="1" applyBorder="1" applyAlignment="1"/>
    <xf numFmtId="3" fontId="41" fillId="0" borderId="0" xfId="0" applyNumberFormat="1" applyFont="1" applyFill="1" applyBorder="1" applyAlignment="1"/>
    <xf numFmtId="3" fontId="4" fillId="0" borderId="0" xfId="0" applyNumberFormat="1" applyFont="1" applyFill="1" applyBorder="1" applyAlignment="1">
      <alignment vertical="center"/>
    </xf>
    <xf numFmtId="0" fontId="41" fillId="0" borderId="0" xfId="0" applyFont="1" applyFill="1" applyAlignment="1"/>
    <xf numFmtId="0" fontId="42" fillId="0" borderId="31" xfId="0" applyFont="1" applyFill="1" applyBorder="1" applyAlignment="1">
      <alignment horizontal="center"/>
    </xf>
    <xf numFmtId="0" fontId="11" fillId="0" borderId="31" xfId="0" applyFont="1" applyFill="1" applyBorder="1" applyAlignment="1">
      <alignment horizontal="center"/>
    </xf>
    <xf numFmtId="2" fontId="42" fillId="0" borderId="31" xfId="0" applyNumberFormat="1" applyFont="1" applyFill="1" applyBorder="1" applyAlignment="1">
      <alignment horizontal="right"/>
    </xf>
    <xf numFmtId="9" fontId="36" fillId="0" borderId="31" xfId="0" applyNumberFormat="1" applyFont="1" applyFill="1" applyBorder="1" applyAlignment="1">
      <alignment horizontal="center"/>
    </xf>
    <xf numFmtId="179" fontId="43" fillId="0" borderId="31" xfId="0" applyNumberFormat="1" applyFont="1" applyFill="1" applyBorder="1" applyAlignment="1"/>
    <xf numFmtId="9" fontId="42" fillId="0" borderId="31" xfId="0" applyNumberFormat="1" applyFont="1" applyFill="1" applyBorder="1" applyAlignment="1">
      <alignment horizontal="right"/>
    </xf>
    <xf numFmtId="180" fontId="36" fillId="0" borderId="31" xfId="0" applyNumberFormat="1" applyFont="1" applyFill="1" applyBorder="1" applyAlignment="1">
      <alignment horizontal="right"/>
    </xf>
    <xf numFmtId="180" fontId="42" fillId="0" borderId="31" xfId="0" applyNumberFormat="1" applyFont="1" applyFill="1" applyBorder="1" applyAlignment="1">
      <alignment horizontal="right"/>
    </xf>
    <xf numFmtId="1" fontId="36" fillId="0" borderId="31" xfId="0" applyNumberFormat="1" applyFont="1" applyFill="1" applyBorder="1" applyAlignment="1">
      <alignment horizontal="right"/>
    </xf>
    <xf numFmtId="172" fontId="36" fillId="0" borderId="31" xfId="1" applyNumberFormat="1" applyFont="1" applyFill="1" applyBorder="1" applyAlignment="1"/>
    <xf numFmtId="180" fontId="36" fillId="0" borderId="31" xfId="0" applyNumberFormat="1" applyFont="1" applyFill="1" applyBorder="1" applyAlignment="1"/>
    <xf numFmtId="3" fontId="36" fillId="0" borderId="31" xfId="0" applyNumberFormat="1" applyFont="1" applyFill="1" applyBorder="1" applyAlignment="1"/>
    <xf numFmtId="0" fontId="36" fillId="0" borderId="31" xfId="0" applyFont="1" applyFill="1" applyBorder="1" applyAlignment="1"/>
    <xf numFmtId="3" fontId="4" fillId="0" borderId="0" xfId="0" applyNumberFormat="1" applyFont="1" applyFill="1" applyBorder="1" applyAlignment="1"/>
    <xf numFmtId="0" fontId="13" fillId="0" borderId="0" xfId="0" applyFont="1" applyFill="1" applyAlignment="1"/>
    <xf numFmtId="0" fontId="36" fillId="0" borderId="0" xfId="0" applyFont="1" applyFill="1" applyAlignment="1"/>
    <xf numFmtId="2" fontId="37" fillId="0" borderId="31" xfId="0" applyNumberFormat="1" applyFont="1" applyFill="1" applyBorder="1" applyAlignment="1">
      <alignment horizontal="center"/>
    </xf>
    <xf numFmtId="180" fontId="37" fillId="0" borderId="31" xfId="0" applyNumberFormat="1" applyFont="1" applyFill="1" applyBorder="1" applyAlignment="1">
      <alignment horizontal="right"/>
    </xf>
    <xf numFmtId="2" fontId="37" fillId="0" borderId="31" xfId="0" applyNumberFormat="1" applyFont="1" applyFill="1" applyBorder="1" applyAlignment="1">
      <alignment horizontal="right"/>
    </xf>
    <xf numFmtId="180" fontId="37" fillId="0" borderId="31" xfId="0" applyNumberFormat="1" applyFont="1" applyFill="1" applyBorder="1" applyAlignment="1">
      <alignment horizontal="center"/>
    </xf>
    <xf numFmtId="0" fontId="15" fillId="0" borderId="0" xfId="0" applyFont="1" applyFill="1" applyBorder="1" applyAlignment="1">
      <alignment horizontal="center"/>
    </xf>
    <xf numFmtId="3" fontId="11" fillId="0" borderId="0" xfId="0" applyNumberFormat="1" applyFont="1" applyFill="1"/>
    <xf numFmtId="3" fontId="45" fillId="0" borderId="0" xfId="0" applyNumberFormat="1" applyFont="1" applyFill="1"/>
    <xf numFmtId="0" fontId="21" fillId="0" borderId="0" xfId="0" applyFont="1" applyFill="1"/>
    <xf numFmtId="3" fontId="21" fillId="0" borderId="0" xfId="0" applyNumberFormat="1" applyFont="1" applyFill="1"/>
    <xf numFmtId="0" fontId="9" fillId="0" borderId="0" xfId="0" applyFont="1" applyFill="1" applyBorder="1" applyAlignment="1">
      <alignment horizontal="center"/>
    </xf>
    <xf numFmtId="0" fontId="9" fillId="0" borderId="0" xfId="0" applyFont="1" applyFill="1"/>
    <xf numFmtId="180" fontId="9" fillId="0" borderId="0" xfId="0" applyNumberFormat="1" applyFont="1" applyFill="1"/>
    <xf numFmtId="172" fontId="9" fillId="0" borderId="0" xfId="1" applyNumberFormat="1" applyFont="1" applyFill="1"/>
    <xf numFmtId="0" fontId="44" fillId="0" borderId="0" xfId="0" applyFont="1" applyFill="1" applyAlignment="1"/>
    <xf numFmtId="0" fontId="12" fillId="0" borderId="0" xfId="0" applyFont="1" applyFill="1" applyBorder="1" applyAlignment="1">
      <alignment horizontal="center"/>
    </xf>
    <xf numFmtId="180" fontId="12" fillId="0" borderId="0" xfId="0" applyNumberFormat="1" applyFont="1" applyFill="1"/>
    <xf numFmtId="0" fontId="28" fillId="0" borderId="0" xfId="0" applyFont="1" applyFill="1"/>
    <xf numFmtId="172" fontId="12" fillId="0" borderId="0" xfId="1" applyNumberFormat="1" applyFont="1" applyFill="1" applyBorder="1"/>
    <xf numFmtId="0" fontId="12" fillId="0" borderId="0" xfId="0" applyFont="1" applyFill="1" applyAlignment="1"/>
    <xf numFmtId="172" fontId="15" fillId="0" borderId="0" xfId="1" applyNumberFormat="1" applyFont="1" applyFill="1" applyBorder="1"/>
    <xf numFmtId="0" fontId="21" fillId="0" borderId="0" xfId="0" applyFont="1" applyFill="1" applyAlignment="1"/>
    <xf numFmtId="3" fontId="15" fillId="0" borderId="0" xfId="0" applyNumberFormat="1" applyFont="1" applyFill="1"/>
    <xf numFmtId="179" fontId="12" fillId="0" borderId="0" xfId="0" applyNumberFormat="1" applyFont="1" applyFill="1" applyAlignment="1">
      <alignment horizontal="center"/>
    </xf>
    <xf numFmtId="179" fontId="28" fillId="0" borderId="0" xfId="0" applyNumberFormat="1" applyFont="1" applyFill="1" applyAlignment="1">
      <alignment horizontal="center"/>
    </xf>
    <xf numFmtId="180" fontId="28" fillId="0" borderId="0" xfId="0" applyNumberFormat="1" applyFont="1" applyFill="1"/>
    <xf numFmtId="172" fontId="12" fillId="0" borderId="0" xfId="1" applyNumberFormat="1" applyFont="1" applyFill="1" applyAlignment="1">
      <alignment horizontal="center"/>
    </xf>
    <xf numFmtId="0" fontId="25" fillId="0" borderId="0" xfId="0" applyFont="1" applyFill="1"/>
    <xf numFmtId="0" fontId="47" fillId="0" borderId="0" xfId="0" applyFont="1" applyFill="1"/>
    <xf numFmtId="0" fontId="3" fillId="0" borderId="0" xfId="0" applyFont="1" applyFill="1" applyBorder="1" applyAlignment="1"/>
    <xf numFmtId="180" fontId="42" fillId="0" borderId="31" xfId="0" applyNumberFormat="1" applyFont="1" applyFill="1" applyBorder="1" applyAlignment="1">
      <alignment horizontal="center"/>
    </xf>
    <xf numFmtId="172" fontId="36" fillId="0" borderId="31" xfId="1" applyNumberFormat="1" applyFont="1" applyFill="1" applyBorder="1" applyAlignment="1">
      <alignment horizontal="right"/>
    </xf>
    <xf numFmtId="175" fontId="37" fillId="0" borderId="31" xfId="0" applyNumberFormat="1" applyFont="1" applyFill="1" applyBorder="1" applyAlignment="1">
      <alignment horizontal="center"/>
    </xf>
    <xf numFmtId="175" fontId="37" fillId="0" borderId="31" xfId="0" applyNumberFormat="1" applyFont="1" applyFill="1" applyBorder="1" applyAlignment="1">
      <alignment horizontal="right"/>
    </xf>
    <xf numFmtId="4" fontId="11" fillId="0" borderId="31" xfId="0" applyNumberFormat="1" applyFont="1" applyFill="1" applyBorder="1" applyAlignment="1">
      <alignment horizontal="center"/>
    </xf>
    <xf numFmtId="4" fontId="42" fillId="0" borderId="31" xfId="0" applyNumberFormat="1" applyFont="1" applyFill="1" applyBorder="1" applyAlignment="1">
      <alignment horizontal="right"/>
    </xf>
    <xf numFmtId="175" fontId="43" fillId="0" borderId="31" xfId="0" applyNumberFormat="1" applyFont="1" applyFill="1" applyBorder="1" applyAlignment="1"/>
    <xf numFmtId="3" fontId="36" fillId="0" borderId="31" xfId="0" applyNumberFormat="1" applyFont="1" applyFill="1" applyBorder="1" applyAlignment="1">
      <alignment horizontal="right"/>
    </xf>
    <xf numFmtId="178" fontId="42" fillId="0" borderId="31" xfId="0" applyNumberFormat="1" applyFont="1" applyFill="1" applyBorder="1" applyAlignment="1">
      <alignment horizontal="right"/>
    </xf>
    <xf numFmtId="178" fontId="42" fillId="0" borderId="31" xfId="0" applyNumberFormat="1" applyFont="1" applyFill="1" applyBorder="1" applyAlignment="1">
      <alignment horizontal="center"/>
    </xf>
    <xf numFmtId="3" fontId="4" fillId="0" borderId="2" xfId="0" applyNumberFormat="1" applyFont="1" applyFill="1" applyBorder="1" applyAlignment="1">
      <alignment horizontal="center" vertical="center" wrapText="1"/>
    </xf>
    <xf numFmtId="0" fontId="5" fillId="0" borderId="0" xfId="0" applyFont="1" applyFill="1" applyAlignment="1">
      <alignment horizontal="center"/>
    </xf>
    <xf numFmtId="0" fontId="4" fillId="0" borderId="2" xfId="0" applyFont="1" applyFill="1" applyBorder="1" applyAlignment="1">
      <alignment horizontal="center" vertical="center" wrapText="1"/>
    </xf>
    <xf numFmtId="0" fontId="4" fillId="0" borderId="16" xfId="0" quotePrefix="1"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8" fillId="0" borderId="0" xfId="0" applyFont="1" applyFill="1" applyAlignment="1">
      <alignment horizontal="center"/>
    </xf>
    <xf numFmtId="0" fontId="3" fillId="0" borderId="5" xfId="0" applyFont="1" applyFill="1" applyBorder="1" applyAlignment="1">
      <alignment horizontal="center" vertical="center"/>
    </xf>
    <xf numFmtId="3" fontId="21" fillId="0" borderId="0" xfId="7" applyNumberFormat="1" applyFont="1" applyFill="1" applyAlignment="1">
      <alignment horizont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2" fillId="0" borderId="0" xfId="0" applyFont="1" applyFill="1" applyAlignment="1">
      <alignment horizontal="center"/>
    </xf>
    <xf numFmtId="0" fontId="5" fillId="0" borderId="0" xfId="0" applyFont="1" applyFill="1" applyAlignment="1">
      <alignment horizontal="center" wrapText="1"/>
    </xf>
    <xf numFmtId="0" fontId="36" fillId="0" borderId="31" xfId="0" applyFont="1" applyFill="1" applyBorder="1" applyAlignment="1">
      <alignment horizontal="center" vertical="center"/>
    </xf>
    <xf numFmtId="0" fontId="3" fillId="0" borderId="0" xfId="0" applyFont="1" applyFill="1" applyBorder="1" applyAlignment="1">
      <alignment horizontal="center" vertical="center"/>
    </xf>
    <xf numFmtId="0" fontId="41" fillId="0" borderId="31" xfId="0" applyFont="1" applyFill="1" applyBorder="1" applyAlignment="1">
      <alignment horizontal="center"/>
    </xf>
    <xf numFmtId="0" fontId="21" fillId="0" borderId="0" xfId="0" applyFont="1" applyFill="1" applyAlignment="1">
      <alignment horizontal="center"/>
    </xf>
    <xf numFmtId="0" fontId="27" fillId="0" borderId="0" xfId="0" applyFont="1" applyFill="1" applyAlignment="1">
      <alignment horizontal="center" vertical="center" wrapText="1"/>
    </xf>
    <xf numFmtId="0" fontId="40" fillId="0" borderId="31" xfId="0" applyFont="1" applyFill="1" applyBorder="1" applyAlignment="1">
      <alignment horizontal="center" vertical="center" wrapText="1"/>
    </xf>
    <xf numFmtId="0" fontId="40" fillId="0" borderId="31" xfId="0" applyFont="1" applyFill="1" applyBorder="1" applyAlignment="1">
      <alignment horizontal="center" vertical="center"/>
    </xf>
    <xf numFmtId="0" fontId="28" fillId="0" borderId="1" xfId="0" applyFont="1" applyFill="1" applyBorder="1" applyAlignment="1">
      <alignment horizontal="center" vertical="center" wrapText="1"/>
    </xf>
    <xf numFmtId="4" fontId="3" fillId="3" borderId="30" xfId="0" applyNumberFormat="1" applyFont="1" applyFill="1" applyBorder="1" applyAlignment="1">
      <alignment horizontal="right"/>
    </xf>
    <xf numFmtId="3" fontId="13" fillId="3" borderId="2" xfId="0" quotePrefix="1" applyNumberFormat="1" applyFont="1" applyFill="1" applyBorder="1" applyAlignment="1">
      <alignment horizontal="center"/>
    </xf>
    <xf numFmtId="4" fontId="3" fillId="3" borderId="2" xfId="0" applyNumberFormat="1" applyFont="1" applyFill="1" applyBorder="1"/>
    <xf numFmtId="1" fontId="3" fillId="3" borderId="2" xfId="0" applyNumberFormat="1" applyFont="1" applyFill="1" applyBorder="1" applyAlignment="1">
      <alignment horizontal="center"/>
    </xf>
    <xf numFmtId="0" fontId="22" fillId="0" borderId="0" xfId="7"/>
    <xf numFmtId="0" fontId="48" fillId="0" borderId="0" xfId="7" applyFont="1"/>
    <xf numFmtId="0" fontId="49" fillId="0" borderId="0" xfId="7" applyFont="1"/>
    <xf numFmtId="0" fontId="51" fillId="0" borderId="31" xfId="7" applyFont="1" applyBorder="1" applyAlignment="1">
      <alignment horizontal="center" vertical="center" wrapText="1"/>
    </xf>
    <xf numFmtId="3" fontId="51" fillId="0" borderId="31" xfId="7" applyNumberFormat="1" applyFont="1" applyBorder="1" applyAlignment="1">
      <alignment horizontal="center" vertical="center" wrapText="1"/>
    </xf>
    <xf numFmtId="0" fontId="52" fillId="0" borderId="31" xfId="7" applyFont="1" applyBorder="1" applyAlignment="1">
      <alignment horizontal="right"/>
    </xf>
    <xf numFmtId="0" fontId="19" fillId="2" borderId="31" xfId="0" applyFont="1" applyFill="1" applyBorder="1"/>
    <xf numFmtId="0" fontId="19" fillId="0" borderId="31" xfId="7" applyFont="1" applyBorder="1"/>
    <xf numFmtId="17" fontId="19" fillId="0" borderId="31" xfId="7" quotePrefix="1" applyNumberFormat="1" applyFont="1" applyBorder="1" applyAlignment="1">
      <alignment horizontal="right"/>
    </xf>
    <xf numFmtId="3" fontId="9" fillId="0" borderId="31" xfId="7" applyNumberFormat="1" applyFont="1" applyBorder="1" applyAlignment="1">
      <alignment vertical="center"/>
    </xf>
    <xf numFmtId="0" fontId="19" fillId="0" borderId="31" xfId="7" quotePrefix="1" applyFont="1" applyBorder="1" applyAlignment="1">
      <alignment horizontal="right"/>
    </xf>
    <xf numFmtId="0" fontId="53" fillId="0" borderId="31" xfId="7" applyFont="1" applyBorder="1"/>
    <xf numFmtId="3" fontId="53" fillId="0" borderId="31" xfId="7" applyNumberFormat="1" applyFont="1" applyBorder="1"/>
    <xf numFmtId="0" fontId="54" fillId="0" borderId="0" xfId="7" applyFont="1"/>
    <xf numFmtId="0" fontId="56" fillId="0" borderId="0" xfId="7" applyFont="1" applyAlignment="1"/>
    <xf numFmtId="0" fontId="57" fillId="0" borderId="0" xfId="7" applyFont="1" applyAlignment="1">
      <alignment horizontal="center"/>
    </xf>
    <xf numFmtId="0" fontId="58" fillId="0" borderId="0" xfId="7" applyFont="1"/>
    <xf numFmtId="0" fontId="58" fillId="0" borderId="0" xfId="7" applyFont="1" applyAlignment="1">
      <alignment horizontal="right"/>
    </xf>
    <xf numFmtId="0" fontId="58" fillId="0" borderId="0" xfId="7" applyFont="1" applyAlignment="1">
      <alignment horizontal="center"/>
    </xf>
    <xf numFmtId="0" fontId="59" fillId="0" borderId="0" xfId="7" applyFont="1" applyAlignment="1">
      <alignment horizontal="center"/>
    </xf>
    <xf numFmtId="0" fontId="59" fillId="0" borderId="0" xfId="7" applyFont="1" applyAlignment="1"/>
    <xf numFmtId="0" fontId="60" fillId="0" borderId="0" xfId="7" applyFont="1" applyAlignment="1">
      <alignment horizontal="center"/>
    </xf>
    <xf numFmtId="0" fontId="60" fillId="0" borderId="0" xfId="7" applyFont="1" applyAlignment="1"/>
    <xf numFmtId="3" fontId="58" fillId="0" borderId="0" xfId="7" applyNumberFormat="1" applyFont="1"/>
    <xf numFmtId="3" fontId="60" fillId="0" borderId="0" xfId="7" applyNumberFormat="1" applyFont="1" applyAlignment="1">
      <alignment horizontal="center"/>
    </xf>
    <xf numFmtId="175" fontId="58" fillId="0" borderId="0" xfId="7" applyNumberFormat="1" applyFont="1"/>
    <xf numFmtId="0" fontId="59" fillId="0" borderId="0" xfId="7" applyFont="1"/>
    <xf numFmtId="175" fontId="59" fillId="0" borderId="0" xfId="7" applyNumberFormat="1" applyFont="1"/>
    <xf numFmtId="3" fontId="51" fillId="0" borderId="31" xfId="7" applyNumberFormat="1" applyFont="1" applyBorder="1" applyAlignment="1">
      <alignment horizontal="center" vertical="center"/>
    </xf>
    <xf numFmtId="0" fontId="0" fillId="0" borderId="31" xfId="0" applyBorder="1"/>
    <xf numFmtId="0" fontId="5" fillId="0" borderId="0" xfId="0" applyFont="1" applyFill="1" applyAlignment="1">
      <alignment horizontal="center"/>
    </xf>
    <xf numFmtId="0" fontId="19" fillId="0" borderId="0" xfId="0" applyFont="1" applyFill="1" applyAlignment="1">
      <alignment horizont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2" fillId="0" borderId="0" xfId="0" applyFont="1" applyFill="1" applyAlignment="1">
      <alignment horizontal="center"/>
    </xf>
    <xf numFmtId="0" fontId="5" fillId="0" borderId="0" xfId="0" applyFont="1" applyFill="1" applyAlignment="1">
      <alignment horizontal="left"/>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3" fontId="31" fillId="0" borderId="0" xfId="0" applyNumberFormat="1" applyFont="1" applyFill="1" applyBorder="1" applyAlignment="1">
      <alignment horizontal="center"/>
    </xf>
    <xf numFmtId="0" fontId="20" fillId="0" borderId="21" xfId="0" applyFont="1" applyFill="1" applyBorder="1" applyAlignment="1">
      <alignment horizontal="left" vertical="center" wrapText="1"/>
    </xf>
    <xf numFmtId="0" fontId="20" fillId="0" borderId="22" xfId="0" applyFont="1" applyFill="1" applyBorder="1" applyAlignment="1">
      <alignment horizontal="left" vertical="center" wrapText="1"/>
    </xf>
    <xf numFmtId="0" fontId="20" fillId="0" borderId="23" xfId="0" applyFont="1" applyFill="1" applyBorder="1" applyAlignment="1">
      <alignment horizontal="left" vertical="center" wrapText="1"/>
    </xf>
    <xf numFmtId="0" fontId="24" fillId="0" borderId="0" xfId="0" applyFont="1" applyFill="1" applyAlignment="1">
      <alignment horizontal="left"/>
    </xf>
    <xf numFmtId="0" fontId="5" fillId="0" borderId="0" xfId="0" applyFont="1" applyFill="1" applyAlignment="1">
      <alignment horizont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0" xfId="0" applyFont="1" applyFill="1" applyBorder="1" applyAlignment="1">
      <alignment horizontal="center" vertical="center" wrapText="1"/>
    </xf>
    <xf numFmtId="4" fontId="4" fillId="0" borderId="10" xfId="0" applyNumberFormat="1" applyFont="1" applyFill="1" applyBorder="1" applyAlignment="1">
      <alignment horizontal="center" vertical="center" wrapText="1"/>
    </xf>
    <xf numFmtId="4" fontId="4" fillId="0" borderId="11" xfId="0" applyNumberFormat="1" applyFont="1" applyFill="1" applyBorder="1" applyAlignment="1">
      <alignment horizontal="center" vertical="center"/>
    </xf>
    <xf numFmtId="4" fontId="4" fillId="0" borderId="3"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xf>
    <xf numFmtId="0" fontId="26" fillId="0" borderId="3"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5" xfId="0" applyFont="1" applyFill="1" applyBorder="1" applyAlignment="1">
      <alignment horizontal="center" vertical="center"/>
    </xf>
    <xf numFmtId="3" fontId="3" fillId="0" borderId="7" xfId="0" applyNumberFormat="1" applyFont="1" applyFill="1" applyBorder="1" applyAlignment="1">
      <alignment horizontal="center" vertical="center"/>
    </xf>
    <xf numFmtId="3" fontId="3" fillId="0" borderId="5" xfId="0" applyNumberFormat="1" applyFont="1" applyFill="1" applyBorder="1" applyAlignment="1">
      <alignment horizontal="center" vertical="center"/>
    </xf>
    <xf numFmtId="0" fontId="35" fillId="0" borderId="0" xfId="0" applyFont="1" applyFill="1" applyAlignment="1">
      <alignment horizontal="center"/>
    </xf>
    <xf numFmtId="0" fontId="12" fillId="0" borderId="0" xfId="0" applyFont="1" applyFill="1" applyAlignment="1">
      <alignment horizontal="center" wrapText="1"/>
    </xf>
    <xf numFmtId="0" fontId="4" fillId="0" borderId="7" xfId="0" applyFont="1" applyFill="1" applyBorder="1" applyAlignment="1">
      <alignment horizontal="center"/>
    </xf>
    <xf numFmtId="0" fontId="4" fillId="0" borderId="5" xfId="0" applyFont="1" applyFill="1" applyBorder="1" applyAlignment="1">
      <alignment horizontal="center"/>
    </xf>
    <xf numFmtId="0" fontId="19" fillId="0" borderId="0" xfId="0" applyFont="1" applyFill="1" applyBorder="1" applyAlignment="1">
      <alignment horizontal="left"/>
    </xf>
    <xf numFmtId="3" fontId="12" fillId="0" borderId="0" xfId="7" applyNumberFormat="1" applyFont="1" applyFill="1" applyAlignment="1">
      <alignment horizontal="center"/>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xf>
    <xf numFmtId="3" fontId="21" fillId="0" borderId="0" xfId="7" applyNumberFormat="1" applyFont="1" applyFill="1" applyAlignment="1">
      <alignment horizontal="center"/>
    </xf>
    <xf numFmtId="0" fontId="4" fillId="0" borderId="2" xfId="0" applyFont="1" applyFill="1" applyBorder="1" applyAlignment="1">
      <alignment horizontal="center" vertical="center"/>
    </xf>
    <xf numFmtId="0" fontId="53" fillId="0" borderId="3" xfId="0" applyFont="1" applyBorder="1" applyAlignment="1">
      <alignment horizontal="center" vertical="center" wrapText="1"/>
    </xf>
    <xf numFmtId="0" fontId="53" fillId="0" borderId="9" xfId="0" applyFont="1" applyBorder="1" applyAlignment="1">
      <alignment horizontal="center" vertical="center"/>
    </xf>
    <xf numFmtId="0" fontId="60" fillId="0" borderId="0" xfId="7" applyFont="1" applyAlignment="1">
      <alignment horizontal="center"/>
    </xf>
    <xf numFmtId="3" fontId="60" fillId="0" borderId="0" xfId="7" applyNumberFormat="1" applyFont="1" applyAlignment="1">
      <alignment horizontal="center"/>
    </xf>
    <xf numFmtId="0" fontId="59" fillId="0" borderId="0" xfId="7" applyFont="1" applyAlignment="1">
      <alignment horizontal="center"/>
    </xf>
    <xf numFmtId="3" fontId="59" fillId="0" borderId="0" xfId="7" applyNumberFormat="1" applyFont="1" applyAlignment="1">
      <alignment horizontal="center"/>
    </xf>
    <xf numFmtId="3" fontId="51" fillId="0" borderId="31" xfId="7" applyNumberFormat="1" applyFont="1" applyBorder="1" applyAlignment="1">
      <alignment horizontal="center" vertical="center"/>
    </xf>
    <xf numFmtId="3" fontId="51" fillId="0" borderId="31" xfId="7" applyNumberFormat="1" applyFont="1" applyBorder="1" applyAlignment="1">
      <alignment horizontal="center" vertical="center" wrapText="1"/>
    </xf>
    <xf numFmtId="0" fontId="50" fillId="0" borderId="0" xfId="7" applyFont="1" applyAlignment="1">
      <alignment horizontal="center"/>
    </xf>
    <xf numFmtId="0" fontId="51" fillId="0" borderId="31" xfId="7" applyFont="1" applyBorder="1" applyAlignment="1">
      <alignment horizontal="center" vertical="center" wrapText="1"/>
    </xf>
    <xf numFmtId="0" fontId="51" fillId="0" borderId="3" xfId="7" applyFont="1" applyBorder="1" applyAlignment="1">
      <alignment horizontal="center" vertical="center" wrapText="1"/>
    </xf>
    <xf numFmtId="0" fontId="51" fillId="0" borderId="9" xfId="7" applyFont="1" applyBorder="1" applyAlignment="1">
      <alignment horizontal="center" vertical="center" wrapText="1"/>
    </xf>
    <xf numFmtId="0" fontId="51" fillId="0" borderId="31" xfId="7" applyFont="1" applyBorder="1" applyAlignment="1">
      <alignment horizontal="center" vertical="center"/>
    </xf>
    <xf numFmtId="0" fontId="40" fillId="0" borderId="31"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40" fillId="0" borderId="9" xfId="0" applyFont="1" applyFill="1" applyBorder="1" applyAlignment="1">
      <alignment horizontal="center" vertical="center" wrapText="1"/>
    </xf>
    <xf numFmtId="0" fontId="28" fillId="0" borderId="31" xfId="0" applyFont="1" applyFill="1" applyBorder="1" applyAlignment="1">
      <alignment horizontal="center" vertical="center" wrapText="1"/>
    </xf>
    <xf numFmtId="179" fontId="28" fillId="0" borderId="31" xfId="0" applyNumberFormat="1" applyFont="1" applyFill="1" applyBorder="1" applyAlignment="1">
      <alignment horizontal="center" vertical="center" wrapText="1"/>
    </xf>
    <xf numFmtId="0" fontId="12" fillId="0" borderId="0" xfId="0" applyFont="1" applyFill="1" applyAlignment="1">
      <alignment horizontal="left"/>
    </xf>
    <xf numFmtId="0" fontId="38" fillId="0" borderId="0" xfId="0" applyFont="1" applyFill="1" applyAlignment="1">
      <alignment horizontal="left"/>
    </xf>
    <xf numFmtId="0" fontId="27" fillId="0" borderId="0" xfId="0" applyFont="1" applyFill="1" applyAlignment="1">
      <alignment horizontal="center" vertical="center" wrapText="1"/>
    </xf>
    <xf numFmtId="0" fontId="8" fillId="0" borderId="31" xfId="0" applyFont="1" applyFill="1" applyBorder="1" applyAlignment="1">
      <alignment horizontal="center" vertical="center" wrapText="1"/>
    </xf>
    <xf numFmtId="0" fontId="8" fillId="0" borderId="31" xfId="0" applyFont="1" applyFill="1" applyBorder="1" applyAlignment="1">
      <alignment horizontal="center" vertical="center"/>
    </xf>
    <xf numFmtId="0" fontId="40" fillId="0" borderId="29" xfId="0" applyFont="1" applyFill="1" applyBorder="1" applyAlignment="1">
      <alignment horizontal="center" vertical="center" wrapText="1"/>
    </xf>
    <xf numFmtId="0" fontId="40" fillId="0" borderId="30" xfId="0" applyFont="1" applyFill="1" applyBorder="1" applyAlignment="1">
      <alignment horizontal="center" vertical="center" wrapText="1"/>
    </xf>
    <xf numFmtId="0" fontId="40" fillId="0" borderId="25" xfId="0" applyFont="1" applyFill="1" applyBorder="1" applyAlignment="1">
      <alignment horizontal="center" vertical="center" wrapText="1"/>
    </xf>
    <xf numFmtId="0" fontId="40" fillId="0" borderId="12"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40" fillId="0" borderId="14"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41" fillId="0" borderId="31" xfId="0" applyFont="1" applyFill="1" applyBorder="1" applyAlignment="1">
      <alignment horizontal="center" vertical="center"/>
    </xf>
    <xf numFmtId="0" fontId="40" fillId="0" borderId="31" xfId="0" applyFont="1" applyFill="1" applyBorder="1" applyAlignment="1">
      <alignment horizontal="center" vertical="center"/>
    </xf>
    <xf numFmtId="0" fontId="8" fillId="0" borderId="0" xfId="0" applyFont="1" applyFill="1" applyAlignment="1">
      <alignment horizontal="center"/>
    </xf>
    <xf numFmtId="179" fontId="8" fillId="0" borderId="31" xfId="0" applyNumberFormat="1" applyFont="1" applyFill="1" applyBorder="1" applyAlignment="1">
      <alignment horizontal="center" vertical="center" wrapText="1"/>
    </xf>
    <xf numFmtId="179" fontId="40" fillId="0" borderId="31" xfId="0" applyNumberFormat="1" applyFont="1" applyFill="1" applyBorder="1" applyAlignment="1">
      <alignment horizontal="center" vertical="center" wrapText="1"/>
    </xf>
    <xf numFmtId="3" fontId="28" fillId="0" borderId="31" xfId="0" applyNumberFormat="1" applyFont="1" applyFill="1" applyBorder="1" applyAlignment="1">
      <alignment horizontal="center" vertical="center" wrapText="1"/>
    </xf>
    <xf numFmtId="0" fontId="36" fillId="0" borderId="31" xfId="0" applyFont="1" applyFill="1" applyBorder="1" applyAlignment="1">
      <alignment horizontal="center" vertical="center"/>
    </xf>
    <xf numFmtId="0" fontId="44" fillId="0" borderId="0" xfId="0" applyFont="1" applyFill="1" applyAlignment="1">
      <alignment horizontal="left"/>
    </xf>
    <xf numFmtId="0" fontId="46" fillId="0" borderId="0" xfId="0" applyFont="1" applyFill="1" applyAlignment="1">
      <alignment horizontal="center"/>
    </xf>
    <xf numFmtId="0" fontId="21" fillId="0" borderId="0" xfId="0" applyFont="1" applyFill="1" applyAlignment="1">
      <alignment horizontal="center"/>
    </xf>
    <xf numFmtId="0" fontId="36" fillId="0" borderId="29" xfId="0" applyFont="1" applyFill="1" applyBorder="1" applyAlignment="1">
      <alignment horizontal="center" vertical="center"/>
    </xf>
    <xf numFmtId="0" fontId="36" fillId="0" borderId="25" xfId="0" applyFont="1" applyFill="1" applyBorder="1" applyAlignment="1">
      <alignment horizontal="center" vertical="center"/>
    </xf>
    <xf numFmtId="0" fontId="3" fillId="0" borderId="0" xfId="0" applyFont="1" applyFill="1" applyBorder="1" applyAlignment="1">
      <alignment horizontal="center" vertical="center"/>
    </xf>
    <xf numFmtId="0" fontId="41" fillId="0" borderId="31" xfId="0" applyFont="1" applyFill="1" applyBorder="1" applyAlignment="1">
      <alignment horizontal="center"/>
    </xf>
  </cellXfs>
  <cellStyles count="9">
    <cellStyle name="Comma" xfId="1" builtinId="3"/>
    <cellStyle name="Heading" xfId="2"/>
    <cellStyle name="Heading1" xfId="3"/>
    <cellStyle name="Normal" xfId="0" builtinId="0" customBuiltin="1"/>
    <cellStyle name="Normal 2" xfId="7"/>
    <cellStyle name="Normal 3" xfId="8"/>
    <cellStyle name="Percent" xfId="4" builtinId="5"/>
    <cellStyle name="Result" xfId="5"/>
    <cellStyle name="Result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UONG/LUONG%202024/2024.luong-thang%2007%20LCB%202.340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UYỂN NH"/>
      <sheetName val="MẪU 09"/>
      <sheetName val="luong 7-2024"/>
      <sheetName val="tinh lai tlinh dung  "/>
      <sheetName val="truy lĩnh thầy ngọc "/>
      <sheetName val="t6"/>
      <sheetName val="t7muc cũ"/>
      <sheetName val="Sheet2"/>
    </sheetNames>
    <sheetDataSet>
      <sheetData sheetId="0"/>
      <sheetData sheetId="1"/>
      <sheetData sheetId="2"/>
      <sheetData sheetId="3">
        <row r="11">
          <cell r="AZ11">
            <v>141499</v>
          </cell>
        </row>
        <row r="111">
          <cell r="AZ111">
            <v>286220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28"/>
  <sheetViews>
    <sheetView zoomScale="92" zoomScaleNormal="92" workbookViewId="0">
      <selection activeCell="AL12" sqref="AL12"/>
    </sheetView>
  </sheetViews>
  <sheetFormatPr defaultColWidth="8.109375" defaultRowHeight="18.75" x14ac:dyDescent="0.3"/>
  <cols>
    <col min="1" max="1" width="2.88671875" style="182" customWidth="1"/>
    <col min="2" max="2" width="17.33203125" style="1" customWidth="1"/>
    <col min="3" max="3" width="6.88671875" style="4" customWidth="1"/>
    <col min="4" max="4" width="5.5546875" style="5" customWidth="1"/>
    <col min="5" max="5" width="7.21875" style="5" customWidth="1"/>
    <col min="6" max="6" width="6.33203125" style="1" customWidth="1"/>
    <col min="7" max="7" width="4.44140625" style="1" customWidth="1"/>
    <col min="8" max="8" width="3.77734375" style="1" customWidth="1"/>
    <col min="9" max="9" width="5.5546875" style="1" customWidth="1"/>
    <col min="10" max="10" width="4.109375" style="182" customWidth="1"/>
    <col min="11" max="11" width="7.6640625" style="1" customWidth="1"/>
    <col min="12" max="12" width="6.44140625" style="182" customWidth="1"/>
    <col min="13" max="13" width="9.33203125" style="1" customWidth="1"/>
    <col min="14" max="14" width="3.88671875" style="1" customWidth="1"/>
    <col min="15" max="15" width="6.33203125" style="1" customWidth="1"/>
    <col min="16" max="16" width="7.88671875" style="1" customWidth="1"/>
    <col min="17" max="17" width="4.6640625" style="2" customWidth="1"/>
    <col min="18" max="18" width="7.88671875" style="1" customWidth="1"/>
    <col min="19" max="19" width="4" style="1" customWidth="1"/>
    <col min="20" max="20" width="7.44140625" style="1" customWidth="1"/>
    <col min="21" max="21" width="4.109375" style="1" customWidth="1"/>
    <col min="22" max="22" width="5.6640625" style="2" customWidth="1"/>
    <col min="23" max="23" width="6.33203125" style="2" customWidth="1"/>
    <col min="24" max="24" width="7.5546875" style="1" customWidth="1"/>
    <col min="25" max="25" width="7.33203125" style="1" customWidth="1"/>
    <col min="26" max="26" width="6.44140625" style="1" customWidth="1"/>
    <col min="27" max="27" width="9.77734375" style="1" customWidth="1"/>
    <col min="28" max="28" width="6.5546875" style="1" customWidth="1"/>
    <col min="29" max="29" width="10.33203125" style="1" customWidth="1"/>
    <col min="30" max="30" width="7.77734375" style="1" customWidth="1"/>
    <col min="31" max="31" width="8.88671875" style="1" customWidth="1"/>
    <col min="32" max="32" width="4.88671875" style="1" customWidth="1"/>
    <col min="33" max="33" width="4.21875" style="1" customWidth="1"/>
    <col min="34" max="34" width="9.88671875" style="1" customWidth="1"/>
    <col min="35" max="35" width="10.88671875" style="1" customWidth="1"/>
    <col min="36" max="36" width="12.44140625" style="1" customWidth="1"/>
    <col min="37" max="38" width="14.44140625" style="1" customWidth="1"/>
    <col min="39" max="39" width="12.5546875" style="1" bestFit="1" customWidth="1"/>
    <col min="40" max="40" width="8.21875" style="1" bestFit="1" customWidth="1"/>
    <col min="41" max="41" width="14.88671875" style="1" customWidth="1"/>
    <col min="42" max="16384" width="8.109375" style="1"/>
  </cols>
  <sheetData>
    <row r="1" spans="1:41" s="3" customFormat="1" x14ac:dyDescent="0.3">
      <c r="A1" s="338" t="s">
        <v>28</v>
      </c>
      <c r="B1" s="338"/>
      <c r="C1" s="338"/>
      <c r="D1" s="338"/>
      <c r="E1" s="338"/>
      <c r="F1" s="338"/>
      <c r="G1" s="338"/>
      <c r="H1" s="338"/>
      <c r="I1" s="338"/>
      <c r="J1" s="182"/>
      <c r="K1" s="1"/>
      <c r="L1" s="182"/>
      <c r="M1" s="1"/>
      <c r="N1" s="1"/>
      <c r="O1" s="1"/>
      <c r="P1" s="1"/>
      <c r="Q1" s="2"/>
      <c r="R1" s="1"/>
      <c r="S1" s="1"/>
      <c r="T1" s="1"/>
      <c r="U1" s="1"/>
      <c r="V1" s="2"/>
      <c r="W1" s="2"/>
      <c r="X1" s="1"/>
      <c r="Y1" s="1"/>
      <c r="Z1" s="1"/>
      <c r="AA1" s="1"/>
      <c r="AB1" s="1"/>
      <c r="AC1" s="1"/>
      <c r="AD1" s="1"/>
      <c r="AE1" s="1"/>
      <c r="AF1" s="333" t="s">
        <v>29</v>
      </c>
      <c r="AG1" s="333"/>
      <c r="AH1" s="333"/>
      <c r="AI1" s="1"/>
    </row>
    <row r="2" spans="1:41" s="3" customFormat="1" x14ac:dyDescent="0.3">
      <c r="A2" s="345" t="s">
        <v>30</v>
      </c>
      <c r="B2" s="345"/>
      <c r="C2" s="345"/>
      <c r="D2" s="345"/>
      <c r="E2" s="345"/>
      <c r="F2" s="345"/>
      <c r="G2" s="345"/>
      <c r="H2" s="345"/>
      <c r="I2" s="345"/>
      <c r="J2" s="182"/>
      <c r="K2" s="1"/>
      <c r="L2" s="182"/>
      <c r="M2" s="1"/>
      <c r="N2" s="1"/>
      <c r="O2" s="1"/>
      <c r="P2" s="1"/>
      <c r="Q2" s="2"/>
      <c r="R2" s="1"/>
      <c r="S2" s="1"/>
      <c r="T2" s="1"/>
      <c r="U2" s="1"/>
      <c r="V2" s="2"/>
      <c r="W2" s="2"/>
      <c r="X2" s="1"/>
      <c r="Y2" s="1"/>
      <c r="Z2" s="1"/>
      <c r="AA2" s="1"/>
      <c r="AB2" s="1"/>
      <c r="AC2" s="1"/>
      <c r="AD2" s="1"/>
      <c r="AE2" s="1"/>
      <c r="AF2" s="1"/>
      <c r="AG2" s="1"/>
      <c r="AH2" s="1"/>
      <c r="AI2" s="1"/>
    </row>
    <row r="3" spans="1:41" s="3" customFormat="1" x14ac:dyDescent="0.3">
      <c r="A3" s="182"/>
      <c r="B3" s="1"/>
      <c r="C3" s="334"/>
      <c r="D3" s="334"/>
      <c r="E3" s="334"/>
      <c r="F3" s="334"/>
      <c r="G3" s="334"/>
      <c r="H3" s="334"/>
      <c r="I3" s="334"/>
      <c r="J3" s="182"/>
      <c r="K3" s="1"/>
      <c r="L3" s="182"/>
      <c r="M3" s="1"/>
      <c r="N3" s="1"/>
      <c r="O3" s="1"/>
      <c r="P3" s="1"/>
      <c r="Q3" s="2"/>
      <c r="R3" s="1"/>
      <c r="S3" s="1"/>
      <c r="T3" s="1"/>
      <c r="U3" s="1"/>
      <c r="V3" s="2"/>
      <c r="W3" s="2"/>
      <c r="X3" s="1"/>
      <c r="Y3" s="1"/>
      <c r="Z3" s="1"/>
      <c r="AA3" s="1"/>
      <c r="AB3" s="1"/>
      <c r="AC3" s="1"/>
      <c r="AD3" s="1"/>
      <c r="AE3" s="1"/>
      <c r="AF3" s="1"/>
      <c r="AG3" s="1"/>
      <c r="AH3" s="1"/>
      <c r="AI3" s="1"/>
    </row>
    <row r="4" spans="1:41" s="3" customFormat="1" ht="37.15" customHeight="1" x14ac:dyDescent="0.3">
      <c r="A4" s="346" t="s">
        <v>267</v>
      </c>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row>
    <row r="5" spans="1:41" s="3" customFormat="1" ht="24.75" customHeight="1" x14ac:dyDescent="0.2">
      <c r="A5" s="347" t="s">
        <v>0</v>
      </c>
      <c r="B5" s="349" t="s">
        <v>31</v>
      </c>
      <c r="C5" s="349" t="s">
        <v>32</v>
      </c>
      <c r="D5" s="354" t="s">
        <v>151</v>
      </c>
      <c r="E5" s="354" t="s">
        <v>150</v>
      </c>
      <c r="F5" s="350" t="s">
        <v>33</v>
      </c>
      <c r="G5" s="352" t="s">
        <v>34</v>
      </c>
      <c r="H5" s="335" t="s">
        <v>35</v>
      </c>
      <c r="I5" s="335"/>
      <c r="J5" s="335" t="s">
        <v>35</v>
      </c>
      <c r="K5" s="335"/>
      <c r="L5" s="336" t="s">
        <v>36</v>
      </c>
      <c r="M5" s="336" t="s">
        <v>37</v>
      </c>
      <c r="N5" s="366" t="s">
        <v>38</v>
      </c>
      <c r="O5" s="367"/>
      <c r="P5" s="368"/>
      <c r="Q5" s="349" t="s">
        <v>39</v>
      </c>
      <c r="R5" s="335" t="s">
        <v>72</v>
      </c>
      <c r="S5" s="335" t="s">
        <v>73</v>
      </c>
      <c r="T5" s="335"/>
      <c r="U5" s="335" t="s">
        <v>74</v>
      </c>
      <c r="V5" s="335"/>
      <c r="W5" s="336" t="s">
        <v>174</v>
      </c>
      <c r="X5" s="370" t="s">
        <v>40</v>
      </c>
      <c r="Y5" s="370"/>
      <c r="Z5" s="278" t="s">
        <v>67</v>
      </c>
      <c r="AA5" s="370" t="s">
        <v>41</v>
      </c>
      <c r="AB5" s="370"/>
      <c r="AC5" s="370" t="s">
        <v>42</v>
      </c>
      <c r="AD5" s="370"/>
      <c r="AE5" s="7" t="s">
        <v>43</v>
      </c>
      <c r="AF5" s="349" t="s">
        <v>44</v>
      </c>
      <c r="AG5" s="336" t="s">
        <v>45</v>
      </c>
      <c r="AH5" s="349" t="s">
        <v>46</v>
      </c>
      <c r="AI5" s="349" t="s">
        <v>47</v>
      </c>
      <c r="AJ5" s="283"/>
      <c r="AK5" s="8"/>
      <c r="AL5" s="8"/>
      <c r="AM5" s="8"/>
      <c r="AN5" s="8"/>
    </row>
    <row r="6" spans="1:41" s="3" customFormat="1" ht="60" x14ac:dyDescent="0.25">
      <c r="A6" s="348"/>
      <c r="B6" s="348"/>
      <c r="C6" s="348"/>
      <c r="D6" s="355"/>
      <c r="E6" s="355"/>
      <c r="F6" s="351"/>
      <c r="G6" s="353"/>
      <c r="H6" s="282" t="s">
        <v>48</v>
      </c>
      <c r="I6" s="281" t="s">
        <v>49</v>
      </c>
      <c r="J6" s="282" t="s">
        <v>48</v>
      </c>
      <c r="K6" s="281" t="s">
        <v>50</v>
      </c>
      <c r="L6" s="339"/>
      <c r="M6" s="339"/>
      <c r="N6" s="281" t="s">
        <v>48</v>
      </c>
      <c r="O6" s="9" t="s">
        <v>51</v>
      </c>
      <c r="P6" s="10" t="s">
        <v>52</v>
      </c>
      <c r="Q6" s="348"/>
      <c r="R6" s="335"/>
      <c r="S6" s="276" t="s">
        <v>35</v>
      </c>
      <c r="T6" s="276" t="s">
        <v>75</v>
      </c>
      <c r="U6" s="276" t="s">
        <v>35</v>
      </c>
      <c r="V6" s="276" t="s">
        <v>75</v>
      </c>
      <c r="W6" s="340"/>
      <c r="X6" s="280" t="s">
        <v>68</v>
      </c>
      <c r="Y6" s="280" t="s">
        <v>53</v>
      </c>
      <c r="Z6" s="280" t="s">
        <v>69</v>
      </c>
      <c r="AA6" s="280" t="s">
        <v>54</v>
      </c>
      <c r="AB6" s="280" t="s">
        <v>55</v>
      </c>
      <c r="AC6" s="280" t="s">
        <v>56</v>
      </c>
      <c r="AD6" s="280" t="s">
        <v>57</v>
      </c>
      <c r="AE6" s="280" t="s">
        <v>58</v>
      </c>
      <c r="AF6" s="348"/>
      <c r="AG6" s="340"/>
      <c r="AH6" s="348"/>
      <c r="AI6" s="348"/>
      <c r="AJ6" s="11"/>
      <c r="AK6" s="11"/>
      <c r="AL6" s="11"/>
      <c r="AM6" s="11"/>
      <c r="AN6" s="11"/>
    </row>
    <row r="7" spans="1:41" s="3" customFormat="1" ht="15" x14ac:dyDescent="0.25">
      <c r="A7" s="12" t="s">
        <v>1</v>
      </c>
      <c r="B7" s="12" t="s">
        <v>2</v>
      </c>
      <c r="C7" s="12" t="s">
        <v>59</v>
      </c>
      <c r="D7" s="13">
        <v>1</v>
      </c>
      <c r="E7" s="13">
        <v>2</v>
      </c>
      <c r="F7" s="13">
        <v>3</v>
      </c>
      <c r="G7" s="13">
        <v>4</v>
      </c>
      <c r="H7" s="356">
        <v>5</v>
      </c>
      <c r="I7" s="357"/>
      <c r="J7" s="356">
        <v>6</v>
      </c>
      <c r="K7" s="357"/>
      <c r="L7" s="12">
        <v>7</v>
      </c>
      <c r="M7" s="12">
        <v>8</v>
      </c>
      <c r="N7" s="356">
        <v>9</v>
      </c>
      <c r="O7" s="357"/>
      <c r="P7" s="14">
        <v>10</v>
      </c>
      <c r="Q7" s="12">
        <v>11</v>
      </c>
      <c r="R7" s="14">
        <v>12</v>
      </c>
      <c r="S7" s="358">
        <v>13</v>
      </c>
      <c r="T7" s="359"/>
      <c r="U7" s="356">
        <v>14</v>
      </c>
      <c r="V7" s="357"/>
      <c r="W7" s="284">
        <v>15</v>
      </c>
      <c r="X7" s="284">
        <v>16</v>
      </c>
      <c r="Y7" s="284">
        <v>17</v>
      </c>
      <c r="Z7" s="284">
        <v>18</v>
      </c>
      <c r="AA7" s="284">
        <v>19</v>
      </c>
      <c r="AB7" s="284">
        <v>20</v>
      </c>
      <c r="AC7" s="284">
        <v>21</v>
      </c>
      <c r="AD7" s="284">
        <v>22</v>
      </c>
      <c r="AE7" s="284">
        <v>23</v>
      </c>
      <c r="AF7" s="284">
        <v>24</v>
      </c>
      <c r="AG7" s="284">
        <v>25</v>
      </c>
      <c r="AH7" s="284">
        <v>26</v>
      </c>
      <c r="AI7" s="12" t="s">
        <v>60</v>
      </c>
      <c r="AJ7" s="16"/>
      <c r="AK7" s="17"/>
      <c r="AL7" s="17"/>
      <c r="AM7" s="11"/>
      <c r="AN7" s="11"/>
    </row>
    <row r="8" spans="1:41" ht="31.5" customHeight="1" x14ac:dyDescent="0.3">
      <c r="A8" s="286" t="s">
        <v>61</v>
      </c>
      <c r="B8" s="18" t="s">
        <v>62</v>
      </c>
      <c r="C8" s="19"/>
      <c r="D8" s="20"/>
      <c r="E8" s="21"/>
      <c r="F8" s="22">
        <f>SUM(F9:F58)</f>
        <v>196.44000000000003</v>
      </c>
      <c r="G8" s="22">
        <f t="shared" ref="G8:I8" si="0">SUM(G9:G58)</f>
        <v>3.4</v>
      </c>
      <c r="H8" s="22">
        <v>0</v>
      </c>
      <c r="I8" s="23">
        <f t="shared" si="0"/>
        <v>0.20299999999999999</v>
      </c>
      <c r="J8" s="286"/>
      <c r="K8" s="23">
        <f>SUM(K9:K58)</f>
        <v>37.267599999999995</v>
      </c>
      <c r="L8" s="23">
        <f>SUM(L9:L58)</f>
        <v>237.31060000000002</v>
      </c>
      <c r="M8" s="24">
        <f t="shared" ref="M8:O8" si="1">SUM(M9:M58)</f>
        <v>555306804</v>
      </c>
      <c r="N8" s="23"/>
      <c r="O8" s="23">
        <f t="shared" si="1"/>
        <v>95.573499999999996</v>
      </c>
      <c r="P8" s="24">
        <f>SUM(P9:P58)</f>
        <v>223641990</v>
      </c>
      <c r="Q8" s="24">
        <f t="shared" ref="Q8:R8" si="2">SUM(Q9:Q58)</f>
        <v>0</v>
      </c>
      <c r="R8" s="24">
        <f t="shared" si="2"/>
        <v>57330000</v>
      </c>
      <c r="S8" s="22">
        <f>SUM(S9:S58)</f>
        <v>0.5</v>
      </c>
      <c r="T8" s="24">
        <f t="shared" ref="T8" si="3">SUM(T9:T58)</f>
        <v>1170000</v>
      </c>
      <c r="U8" s="22">
        <f t="shared" ref="U8" si="4">SUM(U9:U58)</f>
        <v>0.4</v>
      </c>
      <c r="V8" s="24">
        <f t="shared" ref="V8" si="5">SUM(V9:V58)</f>
        <v>936000</v>
      </c>
      <c r="W8" s="24">
        <f t="shared" ref="W8" si="6">SUM(W9:W58)</f>
        <v>468000</v>
      </c>
      <c r="X8" s="24">
        <f t="shared" ref="X8" si="7">SUM(X9:X58)</f>
        <v>94402156</v>
      </c>
      <c r="Y8" s="24">
        <f t="shared" ref="Y8" si="8">SUM(Y9:Y58)</f>
        <v>44424545</v>
      </c>
      <c r="Z8" s="24">
        <f t="shared" ref="Z8" si="9">SUM(Z9:Z58)</f>
        <v>2776533</v>
      </c>
      <c r="AA8" s="24">
        <f t="shared" ref="AA8" si="10">SUM(AA9:AA58)</f>
        <v>16659203</v>
      </c>
      <c r="AB8" s="24">
        <f t="shared" ref="AB8" si="11">SUM(AB9:AB58)</f>
        <v>8329602</v>
      </c>
      <c r="AC8" s="24">
        <f t="shared" ref="AC8" si="12">SUM(AC9:AC58)</f>
        <v>5553069</v>
      </c>
      <c r="AD8" s="24">
        <f t="shared" ref="AD8" si="13">SUM(AD9:AD58)</f>
        <v>5553069</v>
      </c>
      <c r="AE8" s="24">
        <f t="shared" ref="AE8" si="14">SUM(AE9:AE58)</f>
        <v>11106134</v>
      </c>
      <c r="AF8" s="24">
        <f t="shared" ref="AF8" si="15">SUM(AF9:AF58)</f>
        <v>0</v>
      </c>
      <c r="AG8" s="24">
        <f t="shared" ref="AG8" si="16">SUM(AG9:AG58)</f>
        <v>0</v>
      </c>
      <c r="AH8" s="24">
        <f>SUM(AH9:AH58)</f>
        <v>780545578</v>
      </c>
      <c r="AI8" s="24"/>
      <c r="AJ8" s="26"/>
      <c r="AK8" s="27"/>
      <c r="AL8" s="28"/>
      <c r="AM8" s="29"/>
      <c r="AN8" s="30"/>
      <c r="AO8" s="31"/>
    </row>
    <row r="9" spans="1:41" ht="20.25" customHeight="1" x14ac:dyDescent="0.3">
      <c r="A9" s="32" t="s">
        <v>110</v>
      </c>
      <c r="B9" s="33" t="s">
        <v>228</v>
      </c>
      <c r="C9" s="34" t="s">
        <v>225</v>
      </c>
      <c r="D9" s="35" t="s">
        <v>229</v>
      </c>
      <c r="E9" s="143">
        <v>44986</v>
      </c>
      <c r="F9" s="37">
        <v>5.36</v>
      </c>
      <c r="G9" s="37">
        <v>0.5</v>
      </c>
      <c r="H9" s="130"/>
      <c r="I9" s="57"/>
      <c r="J9" s="52">
        <v>21</v>
      </c>
      <c r="K9" s="39">
        <f>ROUND((F9+G9+I9)*J9/100,4)</f>
        <v>1.2305999999999999</v>
      </c>
      <c r="L9" s="39">
        <f>F9+G9+I9+K9</f>
        <v>7.0906000000000002</v>
      </c>
      <c r="M9" s="40">
        <f>ROUND(L9*2340000,0)</f>
        <v>16592004</v>
      </c>
      <c r="N9" s="41">
        <v>0.5</v>
      </c>
      <c r="O9" s="185">
        <f>(F9+G9+I9)*N9</f>
        <v>2.93</v>
      </c>
      <c r="P9" s="40">
        <f>ROUND(O9*2340000,0)</f>
        <v>6856200</v>
      </c>
      <c r="Q9" s="42"/>
      <c r="R9" s="40">
        <f>ROUND(0.5*2340000,0)</f>
        <v>1170000</v>
      </c>
      <c r="S9" s="43"/>
      <c r="T9" s="40">
        <f>S9*2340000</f>
        <v>0</v>
      </c>
      <c r="U9" s="43"/>
      <c r="V9" s="44">
        <f>U9*2340000</f>
        <v>0</v>
      </c>
      <c r="W9" s="44"/>
      <c r="X9" s="40">
        <f>ROUND((L9*2340000*17/100),0)</f>
        <v>2820641</v>
      </c>
      <c r="Y9" s="40">
        <f>ROUND((L9*2340000*8/100),0)</f>
        <v>1327360</v>
      </c>
      <c r="Z9" s="40">
        <f>ROUND((L9*2340000*0.5/100),0)</f>
        <v>82960</v>
      </c>
      <c r="AA9" s="40">
        <f>ROUND((L9*2340000*3/100),0)</f>
        <v>497760</v>
      </c>
      <c r="AB9" s="40">
        <f>ROUND((L9*2340000*1.5/100),0)</f>
        <v>248880</v>
      </c>
      <c r="AC9" s="40">
        <f>ROUND((L9*2340000*1/100),0)</f>
        <v>165920</v>
      </c>
      <c r="AD9" s="40">
        <f>ROUND((L9*2340000*1/100),0)</f>
        <v>165920</v>
      </c>
      <c r="AE9" s="40">
        <f>ROUND((L9*2340000*2/100),0)</f>
        <v>331840</v>
      </c>
      <c r="AF9" s="33"/>
      <c r="AG9" s="40"/>
      <c r="AH9" s="40">
        <f t="shared" ref="AH9:AH57" si="17">M9-Y9-AB9-AD9+P9+R9+T9+V9+W9</f>
        <v>22876044</v>
      </c>
      <c r="AI9" s="40"/>
      <c r="AJ9" s="26"/>
      <c r="AK9" s="26"/>
      <c r="AL9" s="26"/>
      <c r="AM9" s="29"/>
      <c r="AN9" s="30"/>
      <c r="AO9" s="46"/>
    </row>
    <row r="10" spans="1:41" ht="20.25" customHeight="1" x14ac:dyDescent="0.3">
      <c r="A10" s="32" t="s">
        <v>111</v>
      </c>
      <c r="B10" s="33" t="s">
        <v>79</v>
      </c>
      <c r="C10" s="34" t="s">
        <v>224</v>
      </c>
      <c r="D10" s="47" t="s">
        <v>152</v>
      </c>
      <c r="E10" s="135" t="s">
        <v>200</v>
      </c>
      <c r="F10" s="48">
        <v>3.99</v>
      </c>
      <c r="G10" s="48">
        <v>0.4</v>
      </c>
      <c r="H10" s="49"/>
      <c r="I10" s="34"/>
      <c r="J10" s="50">
        <v>20</v>
      </c>
      <c r="K10" s="39">
        <f t="shared" ref="K10:K14" si="18">ROUND((F10+G10+I10)*J10/100,4)</f>
        <v>0.878</v>
      </c>
      <c r="L10" s="39">
        <f t="shared" ref="L10:L40" si="19">F10+G10+I10+K10</f>
        <v>5.2680000000000007</v>
      </c>
      <c r="M10" s="40">
        <f t="shared" ref="M10:M63" si="20">ROUND(L10*2340000,0)</f>
        <v>12327120</v>
      </c>
      <c r="N10" s="41">
        <v>0.5</v>
      </c>
      <c r="O10" s="185">
        <f t="shared" ref="O10:O40" si="21">(F10+G10+I10)*N10</f>
        <v>2.1950000000000003</v>
      </c>
      <c r="P10" s="40">
        <f t="shared" ref="P10:P63" si="22">ROUND(O10*2340000,0)</f>
        <v>5136300</v>
      </c>
      <c r="Q10" s="42"/>
      <c r="R10" s="40">
        <f t="shared" ref="R10:R63" si="23">ROUND(0.5*2340000,0)</f>
        <v>1170000</v>
      </c>
      <c r="S10" s="43"/>
      <c r="T10" s="40">
        <f t="shared" ref="T10:T56" si="24">S10*2340000</f>
        <v>0</v>
      </c>
      <c r="U10" s="43"/>
      <c r="V10" s="44">
        <f t="shared" ref="V10:V56" si="25">U10*2340000</f>
        <v>0</v>
      </c>
      <c r="W10" s="44"/>
      <c r="X10" s="40">
        <f t="shared" ref="X10:X56" si="26">ROUND((L10*2340000*17/100),0)</f>
        <v>2095610</v>
      </c>
      <c r="Y10" s="40">
        <f t="shared" ref="Y10:Y56" si="27">ROUND((L10*2340000*8/100),0)</f>
        <v>986170</v>
      </c>
      <c r="Z10" s="40">
        <f t="shared" ref="Z10:Z56" si="28">ROUND((L10*2340000*0.5/100),0)</f>
        <v>61636</v>
      </c>
      <c r="AA10" s="40">
        <f t="shared" ref="AA10:AA56" si="29">ROUND((L10*2340000*3/100),0)</f>
        <v>369814</v>
      </c>
      <c r="AB10" s="40">
        <f t="shared" ref="AB10:AB56" si="30">ROUND((L10*2340000*1.5/100),0)</f>
        <v>184907</v>
      </c>
      <c r="AC10" s="40">
        <f t="shared" ref="AC10:AC56" si="31">ROUND((L10*2340000*1/100),0)</f>
        <v>123271</v>
      </c>
      <c r="AD10" s="40">
        <f t="shared" ref="AD10:AD56" si="32">ROUND((L10*2340000*1/100),0)</f>
        <v>123271</v>
      </c>
      <c r="AE10" s="40">
        <f t="shared" ref="AE10:AE56" si="33">ROUND((L10*2340000*2/100),0)</f>
        <v>246542</v>
      </c>
      <c r="AF10" s="33"/>
      <c r="AG10" s="40"/>
      <c r="AH10" s="40">
        <f t="shared" si="17"/>
        <v>17339072</v>
      </c>
      <c r="AI10" s="33"/>
      <c r="AJ10" s="51"/>
      <c r="AK10" s="26"/>
      <c r="AL10" s="26"/>
      <c r="AM10" s="29"/>
      <c r="AN10" s="30"/>
      <c r="AO10" s="31"/>
    </row>
    <row r="11" spans="1:41" ht="20.25" customHeight="1" x14ac:dyDescent="0.3">
      <c r="A11" s="32" t="s">
        <v>112</v>
      </c>
      <c r="B11" s="33" t="s">
        <v>24</v>
      </c>
      <c r="C11" s="34" t="s">
        <v>225</v>
      </c>
      <c r="D11" s="36" t="s">
        <v>152</v>
      </c>
      <c r="E11" s="126" t="s">
        <v>201</v>
      </c>
      <c r="F11" s="37">
        <v>4</v>
      </c>
      <c r="G11" s="37">
        <v>0.4</v>
      </c>
      <c r="H11" s="38"/>
      <c r="I11" s="34"/>
      <c r="J11" s="52">
        <v>20</v>
      </c>
      <c r="K11" s="39">
        <f t="shared" si="18"/>
        <v>0.88</v>
      </c>
      <c r="L11" s="39">
        <f t="shared" si="19"/>
        <v>5.28</v>
      </c>
      <c r="M11" s="40">
        <f t="shared" si="20"/>
        <v>12355200</v>
      </c>
      <c r="N11" s="41">
        <v>0.5</v>
      </c>
      <c r="O11" s="185">
        <f t="shared" si="21"/>
        <v>2.2000000000000002</v>
      </c>
      <c r="P11" s="40">
        <f t="shared" si="22"/>
        <v>5148000</v>
      </c>
      <c r="Q11" s="42"/>
      <c r="R11" s="40">
        <f t="shared" si="23"/>
        <v>1170000</v>
      </c>
      <c r="S11" s="43"/>
      <c r="T11" s="40">
        <f t="shared" si="24"/>
        <v>0</v>
      </c>
      <c r="U11" s="43"/>
      <c r="V11" s="44">
        <f t="shared" si="25"/>
        <v>0</v>
      </c>
      <c r="W11" s="44"/>
      <c r="X11" s="40">
        <f t="shared" si="26"/>
        <v>2100384</v>
      </c>
      <c r="Y11" s="40">
        <f t="shared" si="27"/>
        <v>988416</v>
      </c>
      <c r="Z11" s="40">
        <f t="shared" si="28"/>
        <v>61776</v>
      </c>
      <c r="AA11" s="40">
        <f t="shared" si="29"/>
        <v>370656</v>
      </c>
      <c r="AB11" s="40">
        <f t="shared" si="30"/>
        <v>185328</v>
      </c>
      <c r="AC11" s="40">
        <f t="shared" si="31"/>
        <v>123552</v>
      </c>
      <c r="AD11" s="40">
        <f t="shared" si="32"/>
        <v>123552</v>
      </c>
      <c r="AE11" s="40">
        <f t="shared" si="33"/>
        <v>247104</v>
      </c>
      <c r="AF11" s="33"/>
      <c r="AG11" s="40"/>
      <c r="AH11" s="40">
        <f t="shared" si="17"/>
        <v>17375904</v>
      </c>
      <c r="AI11" s="33"/>
      <c r="AJ11" s="53"/>
      <c r="AK11" s="26"/>
      <c r="AL11" s="26"/>
      <c r="AM11" s="29"/>
      <c r="AN11" s="30"/>
      <c r="AO11" s="54"/>
    </row>
    <row r="12" spans="1:41" ht="20.25" customHeight="1" x14ac:dyDescent="0.3">
      <c r="A12" s="32" t="s">
        <v>113</v>
      </c>
      <c r="B12" s="33" t="s">
        <v>14</v>
      </c>
      <c r="C12" s="34" t="s">
        <v>80</v>
      </c>
      <c r="D12" s="36" t="s">
        <v>153</v>
      </c>
      <c r="E12" s="126" t="s">
        <v>202</v>
      </c>
      <c r="F12" s="55">
        <f>3.96+0.31</f>
        <v>4.2699999999999996</v>
      </c>
      <c r="G12" s="55"/>
      <c r="H12" s="128"/>
      <c r="I12" s="56"/>
      <c r="J12" s="129">
        <v>21</v>
      </c>
      <c r="K12" s="39">
        <f t="shared" ref="K12:K13" si="34">ROUND((F12+G12+I12)*J12/100,4)</f>
        <v>0.89670000000000005</v>
      </c>
      <c r="L12" s="39">
        <f t="shared" si="19"/>
        <v>5.1666999999999996</v>
      </c>
      <c r="M12" s="40">
        <f t="shared" si="20"/>
        <v>12090078</v>
      </c>
      <c r="N12" s="41">
        <v>0.5</v>
      </c>
      <c r="O12" s="185">
        <f t="shared" si="21"/>
        <v>2.1349999999999998</v>
      </c>
      <c r="P12" s="40">
        <f t="shared" si="22"/>
        <v>4995900</v>
      </c>
      <c r="Q12" s="42"/>
      <c r="R12" s="40">
        <f t="shared" si="23"/>
        <v>1170000</v>
      </c>
      <c r="S12" s="43"/>
      <c r="T12" s="40">
        <f t="shared" si="24"/>
        <v>0</v>
      </c>
      <c r="U12" s="43"/>
      <c r="V12" s="44">
        <f t="shared" si="25"/>
        <v>0</v>
      </c>
      <c r="W12" s="44"/>
      <c r="X12" s="40">
        <f t="shared" si="26"/>
        <v>2055313</v>
      </c>
      <c r="Y12" s="40">
        <f t="shared" si="27"/>
        <v>967206</v>
      </c>
      <c r="Z12" s="40">
        <f t="shared" si="28"/>
        <v>60450</v>
      </c>
      <c r="AA12" s="40">
        <f t="shared" si="29"/>
        <v>362702</v>
      </c>
      <c r="AB12" s="40">
        <f t="shared" si="30"/>
        <v>181351</v>
      </c>
      <c r="AC12" s="40">
        <f t="shared" si="31"/>
        <v>120901</v>
      </c>
      <c r="AD12" s="40">
        <f t="shared" si="32"/>
        <v>120901</v>
      </c>
      <c r="AE12" s="40">
        <f t="shared" si="33"/>
        <v>241802</v>
      </c>
      <c r="AF12" s="33"/>
      <c r="AG12" s="40"/>
      <c r="AH12" s="40">
        <f t="shared" si="17"/>
        <v>16986520</v>
      </c>
      <c r="AI12" s="33"/>
      <c r="AJ12" s="53"/>
      <c r="AK12" s="26"/>
      <c r="AL12" s="26"/>
      <c r="AM12" s="29"/>
      <c r="AN12" s="30"/>
    </row>
    <row r="13" spans="1:41" ht="20.25" customHeight="1" x14ac:dyDescent="0.3">
      <c r="A13" s="32" t="s">
        <v>114</v>
      </c>
      <c r="B13" s="33" t="s">
        <v>15</v>
      </c>
      <c r="C13" s="34" t="s">
        <v>80</v>
      </c>
      <c r="D13" s="36" t="s">
        <v>152</v>
      </c>
      <c r="E13" s="126" t="s">
        <v>203</v>
      </c>
      <c r="F13" s="37">
        <v>3.96</v>
      </c>
      <c r="G13" s="37"/>
      <c r="H13" s="38"/>
      <c r="I13" s="34"/>
      <c r="J13" s="52">
        <v>16</v>
      </c>
      <c r="K13" s="39">
        <f t="shared" si="34"/>
        <v>0.63360000000000005</v>
      </c>
      <c r="L13" s="39">
        <f t="shared" si="19"/>
        <v>4.5936000000000003</v>
      </c>
      <c r="M13" s="40">
        <f t="shared" si="20"/>
        <v>10749024</v>
      </c>
      <c r="N13" s="41">
        <v>0.5</v>
      </c>
      <c r="O13" s="185">
        <f t="shared" si="21"/>
        <v>1.98</v>
      </c>
      <c r="P13" s="40">
        <f t="shared" si="22"/>
        <v>4633200</v>
      </c>
      <c r="Q13" s="42"/>
      <c r="R13" s="40">
        <f t="shared" si="23"/>
        <v>1170000</v>
      </c>
      <c r="S13" s="43"/>
      <c r="T13" s="40">
        <f t="shared" si="24"/>
        <v>0</v>
      </c>
      <c r="U13" s="43"/>
      <c r="V13" s="44">
        <f t="shared" si="25"/>
        <v>0</v>
      </c>
      <c r="W13" s="44"/>
      <c r="X13" s="40">
        <f t="shared" si="26"/>
        <v>1827334</v>
      </c>
      <c r="Y13" s="40">
        <f t="shared" si="27"/>
        <v>859922</v>
      </c>
      <c r="Z13" s="40">
        <f t="shared" si="28"/>
        <v>53745</v>
      </c>
      <c r="AA13" s="40">
        <f t="shared" si="29"/>
        <v>322471</v>
      </c>
      <c r="AB13" s="40">
        <f t="shared" si="30"/>
        <v>161235</v>
      </c>
      <c r="AC13" s="40">
        <f t="shared" si="31"/>
        <v>107490</v>
      </c>
      <c r="AD13" s="40">
        <f t="shared" si="32"/>
        <v>107490</v>
      </c>
      <c r="AE13" s="40">
        <f t="shared" si="33"/>
        <v>214980</v>
      </c>
      <c r="AF13" s="33"/>
      <c r="AG13" s="40"/>
      <c r="AH13" s="40">
        <f t="shared" si="17"/>
        <v>15423577</v>
      </c>
      <c r="AI13" s="33"/>
      <c r="AJ13" s="26"/>
      <c r="AK13" s="26"/>
      <c r="AL13" s="26"/>
      <c r="AM13" s="29"/>
      <c r="AN13" s="30"/>
    </row>
    <row r="14" spans="1:41" ht="20.25" customHeight="1" x14ac:dyDescent="0.3">
      <c r="A14" s="32" t="s">
        <v>101</v>
      </c>
      <c r="B14" s="33" t="s">
        <v>16</v>
      </c>
      <c r="C14" s="34" t="s">
        <v>103</v>
      </c>
      <c r="D14" s="36" t="s">
        <v>154</v>
      </c>
      <c r="E14" s="126" t="s">
        <v>204</v>
      </c>
      <c r="F14" s="301">
        <v>4.0599999999999996</v>
      </c>
      <c r="G14" s="37"/>
      <c r="H14" s="38"/>
      <c r="I14" s="34"/>
      <c r="J14" s="52">
        <v>19</v>
      </c>
      <c r="K14" s="39">
        <f t="shared" si="18"/>
        <v>0.77139999999999997</v>
      </c>
      <c r="L14" s="39">
        <f t="shared" si="19"/>
        <v>4.8313999999999995</v>
      </c>
      <c r="M14" s="40">
        <f t="shared" si="20"/>
        <v>11305476</v>
      </c>
      <c r="N14" s="41">
        <v>0.5</v>
      </c>
      <c r="O14" s="185">
        <f t="shared" si="21"/>
        <v>2.0299999999999998</v>
      </c>
      <c r="P14" s="40">
        <f t="shared" si="22"/>
        <v>4750200</v>
      </c>
      <c r="Q14" s="42"/>
      <c r="R14" s="40">
        <f t="shared" si="23"/>
        <v>1170000</v>
      </c>
      <c r="S14" s="43"/>
      <c r="T14" s="40">
        <f t="shared" si="24"/>
        <v>0</v>
      </c>
      <c r="U14" s="43"/>
      <c r="V14" s="44">
        <f t="shared" si="25"/>
        <v>0</v>
      </c>
      <c r="W14" s="44"/>
      <c r="X14" s="40">
        <f t="shared" si="26"/>
        <v>1921931</v>
      </c>
      <c r="Y14" s="40">
        <f t="shared" si="27"/>
        <v>904438</v>
      </c>
      <c r="Z14" s="40">
        <f t="shared" si="28"/>
        <v>56527</v>
      </c>
      <c r="AA14" s="40">
        <f t="shared" si="29"/>
        <v>339164</v>
      </c>
      <c r="AB14" s="40">
        <f t="shared" si="30"/>
        <v>169582</v>
      </c>
      <c r="AC14" s="40">
        <f t="shared" si="31"/>
        <v>113055</v>
      </c>
      <c r="AD14" s="40">
        <f t="shared" si="32"/>
        <v>113055</v>
      </c>
      <c r="AE14" s="40">
        <f t="shared" si="33"/>
        <v>226110</v>
      </c>
      <c r="AF14" s="33"/>
      <c r="AG14" s="40"/>
      <c r="AH14" s="40">
        <f t="shared" si="17"/>
        <v>16038601</v>
      </c>
      <c r="AI14" s="33"/>
      <c r="AJ14" s="26"/>
      <c r="AK14" s="26"/>
      <c r="AL14" s="26"/>
      <c r="AM14" s="29"/>
      <c r="AN14" s="30"/>
    </row>
    <row r="15" spans="1:41" ht="20.25" customHeight="1" x14ac:dyDescent="0.3">
      <c r="A15" s="32" t="s">
        <v>108</v>
      </c>
      <c r="B15" s="33" t="s">
        <v>17</v>
      </c>
      <c r="C15" s="34" t="s">
        <v>103</v>
      </c>
      <c r="D15" s="36" t="s">
        <v>155</v>
      </c>
      <c r="E15" s="126" t="s">
        <v>203</v>
      </c>
      <c r="F15" s="37">
        <f>3.86+0.2</f>
        <v>4.0599999999999996</v>
      </c>
      <c r="G15" s="37"/>
      <c r="H15" s="130" t="s">
        <v>198</v>
      </c>
      <c r="I15" s="57">
        <f>(F15*H15)</f>
        <v>0.20299999999999999</v>
      </c>
      <c r="J15" s="52">
        <v>24</v>
      </c>
      <c r="K15" s="39">
        <f>ROUND((F15+G15+I15)*J15/100,4)</f>
        <v>1.0230999999999999</v>
      </c>
      <c r="L15" s="39">
        <f>F15+G15+I15+K15</f>
        <v>5.2860999999999994</v>
      </c>
      <c r="M15" s="40">
        <f t="shared" si="20"/>
        <v>12369474</v>
      </c>
      <c r="N15" s="41">
        <v>0.5</v>
      </c>
      <c r="O15" s="185">
        <f t="shared" si="21"/>
        <v>2.1315</v>
      </c>
      <c r="P15" s="40">
        <f t="shared" si="22"/>
        <v>4987710</v>
      </c>
      <c r="Q15" s="42"/>
      <c r="R15" s="40">
        <f t="shared" si="23"/>
        <v>1170000</v>
      </c>
      <c r="S15" s="43"/>
      <c r="T15" s="40">
        <f t="shared" si="24"/>
        <v>0</v>
      </c>
      <c r="U15" s="43"/>
      <c r="V15" s="44">
        <f t="shared" si="25"/>
        <v>0</v>
      </c>
      <c r="W15" s="44"/>
      <c r="X15" s="40">
        <f t="shared" si="26"/>
        <v>2102811</v>
      </c>
      <c r="Y15" s="40">
        <f t="shared" si="27"/>
        <v>989558</v>
      </c>
      <c r="Z15" s="40">
        <f t="shared" si="28"/>
        <v>61847</v>
      </c>
      <c r="AA15" s="40">
        <f t="shared" si="29"/>
        <v>371084</v>
      </c>
      <c r="AB15" s="40">
        <f t="shared" si="30"/>
        <v>185542</v>
      </c>
      <c r="AC15" s="40">
        <f t="shared" si="31"/>
        <v>123695</v>
      </c>
      <c r="AD15" s="40">
        <f t="shared" si="32"/>
        <v>123695</v>
      </c>
      <c r="AE15" s="40">
        <f t="shared" si="33"/>
        <v>247389</v>
      </c>
      <c r="AF15" s="33"/>
      <c r="AG15" s="40"/>
      <c r="AH15" s="40">
        <f t="shared" si="17"/>
        <v>17228389</v>
      </c>
      <c r="AI15" s="33"/>
      <c r="AJ15" s="26"/>
      <c r="AK15" s="26"/>
      <c r="AL15" s="26"/>
      <c r="AM15" s="29"/>
      <c r="AN15" s="30"/>
    </row>
    <row r="16" spans="1:41" ht="20.25" customHeight="1" x14ac:dyDescent="0.3">
      <c r="A16" s="32" t="s">
        <v>99</v>
      </c>
      <c r="B16" s="33" t="s">
        <v>12</v>
      </c>
      <c r="C16" s="34" t="s">
        <v>225</v>
      </c>
      <c r="D16" s="36" t="s">
        <v>153</v>
      </c>
      <c r="E16" s="126" t="s">
        <v>205</v>
      </c>
      <c r="F16" s="37">
        <v>4.68</v>
      </c>
      <c r="G16" s="37">
        <v>0.2</v>
      </c>
      <c r="H16" s="38"/>
      <c r="I16" s="34"/>
      <c r="J16" s="52">
        <v>24</v>
      </c>
      <c r="K16" s="39">
        <f t="shared" ref="K16" si="35">ROUND((F16+G16+I16)*J16/100,4)</f>
        <v>1.1712</v>
      </c>
      <c r="L16" s="39">
        <f t="shared" si="19"/>
        <v>6.0511999999999997</v>
      </c>
      <c r="M16" s="40">
        <f t="shared" si="20"/>
        <v>14159808</v>
      </c>
      <c r="N16" s="41">
        <v>0.5</v>
      </c>
      <c r="O16" s="185">
        <f t="shared" si="21"/>
        <v>2.44</v>
      </c>
      <c r="P16" s="40">
        <f t="shared" si="22"/>
        <v>5709600</v>
      </c>
      <c r="Q16" s="42"/>
      <c r="R16" s="40">
        <f t="shared" si="23"/>
        <v>1170000</v>
      </c>
      <c r="S16" s="43"/>
      <c r="T16" s="40">
        <f t="shared" si="24"/>
        <v>0</v>
      </c>
      <c r="U16" s="43"/>
      <c r="V16" s="44">
        <f t="shared" si="25"/>
        <v>0</v>
      </c>
      <c r="W16" s="44"/>
      <c r="X16" s="40">
        <f t="shared" si="26"/>
        <v>2407167</v>
      </c>
      <c r="Y16" s="40">
        <f t="shared" si="27"/>
        <v>1132785</v>
      </c>
      <c r="Z16" s="40">
        <f t="shared" si="28"/>
        <v>70799</v>
      </c>
      <c r="AA16" s="40">
        <f t="shared" si="29"/>
        <v>424794</v>
      </c>
      <c r="AB16" s="40">
        <f t="shared" si="30"/>
        <v>212397</v>
      </c>
      <c r="AC16" s="40">
        <f t="shared" si="31"/>
        <v>141598</v>
      </c>
      <c r="AD16" s="40">
        <f t="shared" si="32"/>
        <v>141598</v>
      </c>
      <c r="AE16" s="40">
        <f t="shared" si="33"/>
        <v>283196</v>
      </c>
      <c r="AF16" s="33"/>
      <c r="AG16" s="40"/>
      <c r="AH16" s="40">
        <f t="shared" si="17"/>
        <v>19552628</v>
      </c>
      <c r="AI16" s="33"/>
      <c r="AJ16" s="58"/>
      <c r="AK16" s="26"/>
      <c r="AL16" s="26"/>
      <c r="AM16" s="29"/>
      <c r="AN16" s="30"/>
      <c r="AO16" s="29"/>
    </row>
    <row r="17" spans="1:41" ht="20.25" customHeight="1" thickBot="1" x14ac:dyDescent="0.35">
      <c r="A17" s="32" t="s">
        <v>109</v>
      </c>
      <c r="B17" s="33" t="s">
        <v>18</v>
      </c>
      <c r="C17" s="34" t="s">
        <v>224</v>
      </c>
      <c r="D17" s="47" t="s">
        <v>156</v>
      </c>
      <c r="E17" s="135" t="s">
        <v>206</v>
      </c>
      <c r="F17" s="147">
        <v>3.66</v>
      </c>
      <c r="G17" s="147"/>
      <c r="H17" s="148"/>
      <c r="I17" s="149"/>
      <c r="J17" s="150">
        <v>18</v>
      </c>
      <c r="K17" s="39">
        <f t="shared" ref="K17:K18" si="36">ROUND((F17+G17+I17)*J17/100,4)</f>
        <v>0.65880000000000005</v>
      </c>
      <c r="L17" s="39">
        <f t="shared" si="19"/>
        <v>4.3188000000000004</v>
      </c>
      <c r="M17" s="40">
        <f t="shared" si="20"/>
        <v>10105992</v>
      </c>
      <c r="N17" s="151">
        <v>0.5</v>
      </c>
      <c r="O17" s="185">
        <f t="shared" si="21"/>
        <v>1.83</v>
      </c>
      <c r="P17" s="40">
        <f t="shared" si="22"/>
        <v>4282200</v>
      </c>
      <c r="Q17" s="42"/>
      <c r="R17" s="40">
        <f t="shared" si="23"/>
        <v>1170000</v>
      </c>
      <c r="S17" s="43"/>
      <c r="T17" s="40">
        <f t="shared" si="24"/>
        <v>0</v>
      </c>
      <c r="U17" s="43"/>
      <c r="V17" s="44">
        <f t="shared" si="25"/>
        <v>0</v>
      </c>
      <c r="W17" s="44"/>
      <c r="X17" s="40">
        <f t="shared" si="26"/>
        <v>1718019</v>
      </c>
      <c r="Y17" s="40">
        <f t="shared" si="27"/>
        <v>808479</v>
      </c>
      <c r="Z17" s="40">
        <f t="shared" si="28"/>
        <v>50530</v>
      </c>
      <c r="AA17" s="40">
        <f t="shared" si="29"/>
        <v>303180</v>
      </c>
      <c r="AB17" s="40">
        <f t="shared" si="30"/>
        <v>151590</v>
      </c>
      <c r="AC17" s="40">
        <f t="shared" si="31"/>
        <v>101060</v>
      </c>
      <c r="AD17" s="40">
        <f t="shared" si="32"/>
        <v>101060</v>
      </c>
      <c r="AE17" s="40">
        <f t="shared" si="33"/>
        <v>202120</v>
      </c>
      <c r="AF17" s="33"/>
      <c r="AG17" s="40"/>
      <c r="AH17" s="40">
        <f t="shared" si="17"/>
        <v>14497063</v>
      </c>
      <c r="AI17" s="33"/>
      <c r="AJ17" s="25"/>
      <c r="AK17" s="25"/>
      <c r="AL17" s="25"/>
      <c r="AM17" s="29"/>
      <c r="AN17" s="30"/>
      <c r="AO17" s="54"/>
    </row>
    <row r="18" spans="1:41" ht="20.25" customHeight="1" thickBot="1" x14ac:dyDescent="0.35">
      <c r="A18" s="32" t="s">
        <v>98</v>
      </c>
      <c r="B18" s="33" t="s">
        <v>25</v>
      </c>
      <c r="C18" s="34" t="s">
        <v>225</v>
      </c>
      <c r="D18" s="36" t="s">
        <v>162</v>
      </c>
      <c r="E18" s="135" t="s">
        <v>226</v>
      </c>
      <c r="F18" s="37">
        <v>4</v>
      </c>
      <c r="G18" s="37">
        <v>0.15</v>
      </c>
      <c r="H18" s="38"/>
      <c r="I18" s="34"/>
      <c r="J18" s="50">
        <v>15</v>
      </c>
      <c r="K18" s="39">
        <f t="shared" si="36"/>
        <v>0.62250000000000005</v>
      </c>
      <c r="L18" s="39">
        <f t="shared" si="19"/>
        <v>4.7725000000000009</v>
      </c>
      <c r="M18" s="40">
        <f t="shared" si="20"/>
        <v>11167650</v>
      </c>
      <c r="N18" s="41">
        <v>0.5</v>
      </c>
      <c r="O18" s="185">
        <f t="shared" si="21"/>
        <v>2.0750000000000002</v>
      </c>
      <c r="P18" s="40">
        <f t="shared" si="22"/>
        <v>4855500</v>
      </c>
      <c r="Q18" s="42"/>
      <c r="R18" s="40">
        <f t="shared" si="23"/>
        <v>1170000</v>
      </c>
      <c r="S18" s="43"/>
      <c r="T18" s="40">
        <f t="shared" si="24"/>
        <v>0</v>
      </c>
      <c r="U18" s="43"/>
      <c r="V18" s="44">
        <f t="shared" si="25"/>
        <v>0</v>
      </c>
      <c r="W18" s="44"/>
      <c r="X18" s="40">
        <f t="shared" si="26"/>
        <v>1898501</v>
      </c>
      <c r="Y18" s="40">
        <f t="shared" si="27"/>
        <v>893412</v>
      </c>
      <c r="Z18" s="40">
        <f t="shared" si="28"/>
        <v>55838</v>
      </c>
      <c r="AA18" s="40">
        <f t="shared" si="29"/>
        <v>335030</v>
      </c>
      <c r="AB18" s="40">
        <f t="shared" si="30"/>
        <v>167515</v>
      </c>
      <c r="AC18" s="40">
        <f t="shared" si="31"/>
        <v>111677</v>
      </c>
      <c r="AD18" s="40">
        <f t="shared" si="32"/>
        <v>111677</v>
      </c>
      <c r="AE18" s="40">
        <f t="shared" si="33"/>
        <v>223353</v>
      </c>
      <c r="AF18" s="33"/>
      <c r="AG18" s="40"/>
      <c r="AH18" s="40">
        <f t="shared" si="17"/>
        <v>16020546</v>
      </c>
      <c r="AI18" s="33"/>
      <c r="AJ18" s="15"/>
      <c r="AK18" s="30"/>
      <c r="AL18" s="30"/>
      <c r="AM18" s="30"/>
      <c r="AN18" s="30"/>
    </row>
    <row r="19" spans="1:41" ht="20.25" customHeight="1" x14ac:dyDescent="0.3">
      <c r="A19" s="32" t="s">
        <v>96</v>
      </c>
      <c r="B19" s="33" t="s">
        <v>83</v>
      </c>
      <c r="C19" s="34" t="s">
        <v>225</v>
      </c>
      <c r="D19" s="36" t="s">
        <v>155</v>
      </c>
      <c r="E19" s="126" t="s">
        <v>207</v>
      </c>
      <c r="F19" s="37">
        <v>4.34</v>
      </c>
      <c r="G19" s="37"/>
      <c r="H19" s="38"/>
      <c r="I19" s="34"/>
      <c r="J19" s="52">
        <v>24</v>
      </c>
      <c r="K19" s="39">
        <f t="shared" ref="K19:K26" si="37">ROUND((F19+G19+I19)*J19/100,4)</f>
        <v>1.0416000000000001</v>
      </c>
      <c r="L19" s="39">
        <f t="shared" si="19"/>
        <v>5.3815999999999997</v>
      </c>
      <c r="M19" s="40">
        <f t="shared" si="20"/>
        <v>12592944</v>
      </c>
      <c r="N19" s="41">
        <v>0.5</v>
      </c>
      <c r="O19" s="185">
        <f t="shared" si="21"/>
        <v>2.17</v>
      </c>
      <c r="P19" s="40">
        <f t="shared" si="22"/>
        <v>5077800</v>
      </c>
      <c r="Q19" s="42"/>
      <c r="R19" s="40">
        <f t="shared" si="23"/>
        <v>1170000</v>
      </c>
      <c r="S19" s="43"/>
      <c r="T19" s="40">
        <f t="shared" si="24"/>
        <v>0</v>
      </c>
      <c r="U19" s="43"/>
      <c r="V19" s="44">
        <f t="shared" si="25"/>
        <v>0</v>
      </c>
      <c r="W19" s="44"/>
      <c r="X19" s="40">
        <f t="shared" si="26"/>
        <v>2140800</v>
      </c>
      <c r="Y19" s="40">
        <f t="shared" si="27"/>
        <v>1007436</v>
      </c>
      <c r="Z19" s="40">
        <f t="shared" si="28"/>
        <v>62965</v>
      </c>
      <c r="AA19" s="40">
        <f t="shared" si="29"/>
        <v>377788</v>
      </c>
      <c r="AB19" s="40">
        <f t="shared" si="30"/>
        <v>188894</v>
      </c>
      <c r="AC19" s="40">
        <f t="shared" si="31"/>
        <v>125929</v>
      </c>
      <c r="AD19" s="40">
        <f t="shared" si="32"/>
        <v>125929</v>
      </c>
      <c r="AE19" s="40">
        <f t="shared" si="33"/>
        <v>251859</v>
      </c>
      <c r="AF19" s="33"/>
      <c r="AG19" s="40"/>
      <c r="AH19" s="40">
        <f t="shared" si="17"/>
        <v>17518485</v>
      </c>
      <c r="AI19" s="33"/>
      <c r="AJ19" s="29"/>
      <c r="AK19" s="29" t="e">
        <f>#REF!+#REF!</f>
        <v>#REF!</v>
      </c>
      <c r="AL19" s="59" t="e">
        <f>#REF!+#REF!+#REF!+AK19</f>
        <v>#REF!</v>
      </c>
      <c r="AM19" s="30"/>
      <c r="AN19" s="30"/>
    </row>
    <row r="20" spans="1:41" ht="20.25" customHeight="1" x14ac:dyDescent="0.3">
      <c r="A20" s="32" t="s">
        <v>95</v>
      </c>
      <c r="B20" s="33" t="s">
        <v>19</v>
      </c>
      <c r="C20" s="34" t="s">
        <v>224</v>
      </c>
      <c r="D20" s="36" t="s">
        <v>158</v>
      </c>
      <c r="E20" s="126" t="s">
        <v>208</v>
      </c>
      <c r="F20" s="301">
        <v>4.6500000000000004</v>
      </c>
      <c r="G20" s="37"/>
      <c r="H20" s="152"/>
      <c r="I20" s="60"/>
      <c r="J20" s="52">
        <v>28</v>
      </c>
      <c r="K20" s="39">
        <f t="shared" si="37"/>
        <v>1.302</v>
      </c>
      <c r="L20" s="39">
        <f t="shared" si="19"/>
        <v>5.952</v>
      </c>
      <c r="M20" s="40">
        <f t="shared" si="20"/>
        <v>13927680</v>
      </c>
      <c r="N20" s="41">
        <v>0.5</v>
      </c>
      <c r="O20" s="185">
        <f t="shared" si="21"/>
        <v>2.3250000000000002</v>
      </c>
      <c r="P20" s="40">
        <f t="shared" si="22"/>
        <v>5440500</v>
      </c>
      <c r="Q20" s="42"/>
      <c r="R20" s="40">
        <f t="shared" si="23"/>
        <v>1170000</v>
      </c>
      <c r="S20" s="43"/>
      <c r="T20" s="40">
        <f t="shared" si="24"/>
        <v>0</v>
      </c>
      <c r="U20" s="43"/>
      <c r="V20" s="44">
        <f t="shared" si="25"/>
        <v>0</v>
      </c>
      <c r="W20" s="44"/>
      <c r="X20" s="40">
        <f t="shared" si="26"/>
        <v>2367706</v>
      </c>
      <c r="Y20" s="40">
        <f t="shared" si="27"/>
        <v>1114214</v>
      </c>
      <c r="Z20" s="40">
        <f t="shared" si="28"/>
        <v>69638</v>
      </c>
      <c r="AA20" s="40">
        <f t="shared" si="29"/>
        <v>417830</v>
      </c>
      <c r="AB20" s="40">
        <f t="shared" si="30"/>
        <v>208915</v>
      </c>
      <c r="AC20" s="40">
        <f t="shared" si="31"/>
        <v>139277</v>
      </c>
      <c r="AD20" s="40">
        <f t="shared" si="32"/>
        <v>139277</v>
      </c>
      <c r="AE20" s="40">
        <f t="shared" si="33"/>
        <v>278554</v>
      </c>
      <c r="AF20" s="33"/>
      <c r="AG20" s="40"/>
      <c r="AH20" s="40">
        <f t="shared" si="17"/>
        <v>19075774</v>
      </c>
      <c r="AI20" s="33"/>
      <c r="AJ20" s="30"/>
      <c r="AK20" s="30"/>
      <c r="AL20" s="59" t="e">
        <f>#REF!+#REF!+#REF!+AK20</f>
        <v>#REF!</v>
      </c>
      <c r="AM20" s="30"/>
      <c r="AN20" s="30"/>
    </row>
    <row r="21" spans="1:41" ht="20.25" customHeight="1" x14ac:dyDescent="0.3">
      <c r="A21" s="32" t="s">
        <v>93</v>
      </c>
      <c r="B21" s="33" t="s">
        <v>20</v>
      </c>
      <c r="C21" s="34" t="s">
        <v>225</v>
      </c>
      <c r="D21" s="36" t="s">
        <v>157</v>
      </c>
      <c r="E21" s="126" t="s">
        <v>209</v>
      </c>
      <c r="F21" s="37">
        <v>4.68</v>
      </c>
      <c r="G21" s="37"/>
      <c r="H21" s="38"/>
      <c r="I21" s="34"/>
      <c r="J21" s="52">
        <v>26</v>
      </c>
      <c r="K21" s="39">
        <f t="shared" si="37"/>
        <v>1.2168000000000001</v>
      </c>
      <c r="L21" s="39">
        <f t="shared" si="19"/>
        <v>5.8967999999999998</v>
      </c>
      <c r="M21" s="40">
        <f t="shared" si="20"/>
        <v>13798512</v>
      </c>
      <c r="N21" s="41">
        <v>0.5</v>
      </c>
      <c r="O21" s="185">
        <f t="shared" si="21"/>
        <v>2.34</v>
      </c>
      <c r="P21" s="40">
        <f t="shared" si="22"/>
        <v>5475600</v>
      </c>
      <c r="Q21" s="42"/>
      <c r="R21" s="40">
        <f t="shared" si="23"/>
        <v>1170000</v>
      </c>
      <c r="S21" s="43"/>
      <c r="T21" s="40">
        <f t="shared" si="24"/>
        <v>0</v>
      </c>
      <c r="U21" s="43"/>
      <c r="V21" s="44">
        <f t="shared" si="25"/>
        <v>0</v>
      </c>
      <c r="W21" s="44"/>
      <c r="X21" s="40">
        <f t="shared" si="26"/>
        <v>2345747</v>
      </c>
      <c r="Y21" s="40">
        <f t="shared" si="27"/>
        <v>1103881</v>
      </c>
      <c r="Z21" s="40">
        <f t="shared" si="28"/>
        <v>68993</v>
      </c>
      <c r="AA21" s="40">
        <f t="shared" si="29"/>
        <v>413955</v>
      </c>
      <c r="AB21" s="40">
        <f t="shared" si="30"/>
        <v>206978</v>
      </c>
      <c r="AC21" s="40">
        <f t="shared" si="31"/>
        <v>137985</v>
      </c>
      <c r="AD21" s="40">
        <f t="shared" si="32"/>
        <v>137985</v>
      </c>
      <c r="AE21" s="40">
        <f t="shared" si="33"/>
        <v>275970</v>
      </c>
      <c r="AF21" s="33"/>
      <c r="AG21" s="40"/>
      <c r="AH21" s="40">
        <f t="shared" si="17"/>
        <v>18995268</v>
      </c>
      <c r="AI21" s="33"/>
      <c r="AJ21" s="61"/>
      <c r="AK21" s="26"/>
      <c r="AL21" s="59" t="e">
        <f>#REF!+#REF!+#REF!+AK21</f>
        <v>#REF!</v>
      </c>
      <c r="AM21" s="26"/>
      <c r="AN21" s="131"/>
    </row>
    <row r="22" spans="1:41" ht="20.25" customHeight="1" x14ac:dyDescent="0.3">
      <c r="A22" s="32" t="s">
        <v>115</v>
      </c>
      <c r="B22" s="33" t="s">
        <v>21</v>
      </c>
      <c r="C22" s="34" t="s">
        <v>225</v>
      </c>
      <c r="D22" s="36" t="s">
        <v>193</v>
      </c>
      <c r="E22" s="126" t="s">
        <v>210</v>
      </c>
      <c r="F22" s="301">
        <v>4.34</v>
      </c>
      <c r="G22" s="37"/>
      <c r="H22" s="153"/>
      <c r="I22" s="34"/>
      <c r="J22" s="187">
        <v>18</v>
      </c>
      <c r="K22" s="39">
        <f t="shared" si="37"/>
        <v>0.78120000000000001</v>
      </c>
      <c r="L22" s="39">
        <f t="shared" si="19"/>
        <v>5.1212</v>
      </c>
      <c r="M22" s="40">
        <f t="shared" si="20"/>
        <v>11983608</v>
      </c>
      <c r="N22" s="41">
        <v>0.5</v>
      </c>
      <c r="O22" s="185">
        <f t="shared" si="21"/>
        <v>2.17</v>
      </c>
      <c r="P22" s="40">
        <f t="shared" si="22"/>
        <v>5077800</v>
      </c>
      <c r="Q22" s="42"/>
      <c r="R22" s="40">
        <f t="shared" si="23"/>
        <v>1170000</v>
      </c>
      <c r="S22" s="43"/>
      <c r="T22" s="40">
        <f t="shared" si="24"/>
        <v>0</v>
      </c>
      <c r="U22" s="43"/>
      <c r="V22" s="44">
        <f t="shared" si="25"/>
        <v>0</v>
      </c>
      <c r="W22" s="44"/>
      <c r="X22" s="40">
        <f t="shared" si="26"/>
        <v>2037213</v>
      </c>
      <c r="Y22" s="40">
        <f t="shared" si="27"/>
        <v>958689</v>
      </c>
      <c r="Z22" s="40">
        <f t="shared" si="28"/>
        <v>59918</v>
      </c>
      <c r="AA22" s="40">
        <f t="shared" si="29"/>
        <v>359508</v>
      </c>
      <c r="AB22" s="40">
        <f t="shared" si="30"/>
        <v>179754</v>
      </c>
      <c r="AC22" s="40">
        <f t="shared" si="31"/>
        <v>119836</v>
      </c>
      <c r="AD22" s="40">
        <f t="shared" si="32"/>
        <v>119836</v>
      </c>
      <c r="AE22" s="40">
        <f t="shared" si="33"/>
        <v>239672</v>
      </c>
      <c r="AF22" s="33"/>
      <c r="AG22" s="40"/>
      <c r="AH22" s="40">
        <f t="shared" si="17"/>
        <v>16973129</v>
      </c>
      <c r="AI22" s="33"/>
      <c r="AJ22" s="62"/>
      <c r="AK22" s="63" t="e">
        <f>#REF!+#REF!</f>
        <v>#REF!</v>
      </c>
      <c r="AL22" s="59" t="e">
        <f>#REF!+#REF!+#REF!+AK22</f>
        <v>#REF!</v>
      </c>
      <c r="AM22" s="26"/>
      <c r="AN22" s="58"/>
    </row>
    <row r="23" spans="1:41" ht="20.25" customHeight="1" x14ac:dyDescent="0.3">
      <c r="A23" s="32" t="s">
        <v>116</v>
      </c>
      <c r="B23" s="33" t="s">
        <v>26</v>
      </c>
      <c r="C23" s="34" t="s">
        <v>224</v>
      </c>
      <c r="D23" s="36" t="s">
        <v>162</v>
      </c>
      <c r="E23" s="135" t="s">
        <v>226</v>
      </c>
      <c r="F23" s="48">
        <v>3.66</v>
      </c>
      <c r="G23" s="48"/>
      <c r="H23" s="64"/>
      <c r="I23" s="64"/>
      <c r="J23" s="50">
        <v>15</v>
      </c>
      <c r="K23" s="39">
        <f t="shared" si="37"/>
        <v>0.54900000000000004</v>
      </c>
      <c r="L23" s="39">
        <f t="shared" si="19"/>
        <v>4.2090000000000005</v>
      </c>
      <c r="M23" s="40">
        <f t="shared" si="20"/>
        <v>9849060</v>
      </c>
      <c r="N23" s="41">
        <v>0.5</v>
      </c>
      <c r="O23" s="185">
        <f t="shared" si="21"/>
        <v>1.83</v>
      </c>
      <c r="P23" s="40">
        <f t="shared" si="22"/>
        <v>4282200</v>
      </c>
      <c r="Q23" s="42"/>
      <c r="R23" s="40">
        <f t="shared" si="23"/>
        <v>1170000</v>
      </c>
      <c r="S23" s="43"/>
      <c r="T23" s="40">
        <f t="shared" si="24"/>
        <v>0</v>
      </c>
      <c r="U23" s="43"/>
      <c r="V23" s="44">
        <f t="shared" si="25"/>
        <v>0</v>
      </c>
      <c r="W23" s="44"/>
      <c r="X23" s="40">
        <f t="shared" si="26"/>
        <v>1674340</v>
      </c>
      <c r="Y23" s="40">
        <f t="shared" si="27"/>
        <v>787925</v>
      </c>
      <c r="Z23" s="40">
        <f t="shared" si="28"/>
        <v>49245</v>
      </c>
      <c r="AA23" s="40">
        <f t="shared" si="29"/>
        <v>295472</v>
      </c>
      <c r="AB23" s="40">
        <f t="shared" si="30"/>
        <v>147736</v>
      </c>
      <c r="AC23" s="40">
        <f t="shared" si="31"/>
        <v>98491</v>
      </c>
      <c r="AD23" s="40">
        <f t="shared" si="32"/>
        <v>98491</v>
      </c>
      <c r="AE23" s="40">
        <f t="shared" si="33"/>
        <v>196981</v>
      </c>
      <c r="AF23" s="33"/>
      <c r="AG23" s="40"/>
      <c r="AH23" s="40">
        <f t="shared" si="17"/>
        <v>14267108</v>
      </c>
      <c r="AI23" s="33"/>
      <c r="AJ23" s="61"/>
      <c r="AK23" s="341"/>
      <c r="AL23" s="341"/>
      <c r="AM23" s="341"/>
      <c r="AN23" s="341"/>
    </row>
    <row r="24" spans="1:41" ht="20.25" customHeight="1" x14ac:dyDescent="0.3">
      <c r="A24" s="32" t="s">
        <v>91</v>
      </c>
      <c r="B24" s="33" t="s">
        <v>84</v>
      </c>
      <c r="C24" s="34" t="s">
        <v>224</v>
      </c>
      <c r="D24" s="47" t="s">
        <v>162</v>
      </c>
      <c r="E24" s="135" t="s">
        <v>226</v>
      </c>
      <c r="F24" s="37">
        <v>3.66</v>
      </c>
      <c r="G24" s="154">
        <v>0.2</v>
      </c>
      <c r="H24" s="38"/>
      <c r="I24" s="34"/>
      <c r="J24" s="50">
        <v>15</v>
      </c>
      <c r="K24" s="39">
        <f t="shared" si="37"/>
        <v>0.57899999999999996</v>
      </c>
      <c r="L24" s="39">
        <f t="shared" si="19"/>
        <v>4.4390000000000001</v>
      </c>
      <c r="M24" s="40">
        <f t="shared" si="20"/>
        <v>10387260</v>
      </c>
      <c r="N24" s="41">
        <v>0.5</v>
      </c>
      <c r="O24" s="185">
        <f t="shared" si="21"/>
        <v>1.9300000000000002</v>
      </c>
      <c r="P24" s="40">
        <f t="shared" si="22"/>
        <v>4516200</v>
      </c>
      <c r="Q24" s="42"/>
      <c r="R24" s="40">
        <f t="shared" si="23"/>
        <v>1170000</v>
      </c>
      <c r="S24" s="43"/>
      <c r="T24" s="40">
        <f t="shared" si="24"/>
        <v>0</v>
      </c>
      <c r="U24" s="43"/>
      <c r="V24" s="44">
        <f t="shared" si="25"/>
        <v>0</v>
      </c>
      <c r="W24" s="44"/>
      <c r="X24" s="40">
        <f t="shared" si="26"/>
        <v>1765834</v>
      </c>
      <c r="Y24" s="40">
        <f t="shared" si="27"/>
        <v>830981</v>
      </c>
      <c r="Z24" s="40">
        <f t="shared" si="28"/>
        <v>51936</v>
      </c>
      <c r="AA24" s="40">
        <f t="shared" si="29"/>
        <v>311618</v>
      </c>
      <c r="AB24" s="40">
        <f t="shared" si="30"/>
        <v>155809</v>
      </c>
      <c r="AC24" s="40">
        <f t="shared" si="31"/>
        <v>103873</v>
      </c>
      <c r="AD24" s="40">
        <f t="shared" si="32"/>
        <v>103873</v>
      </c>
      <c r="AE24" s="40">
        <f t="shared" si="33"/>
        <v>207745</v>
      </c>
      <c r="AF24" s="33"/>
      <c r="AG24" s="40"/>
      <c r="AH24" s="40">
        <f t="shared" si="17"/>
        <v>14982797</v>
      </c>
      <c r="AI24" s="33"/>
      <c r="AJ24" s="61"/>
      <c r="AK24" s="341"/>
      <c r="AL24" s="341"/>
      <c r="AM24" s="341"/>
      <c r="AN24" s="341"/>
    </row>
    <row r="25" spans="1:41" ht="20.25" customHeight="1" x14ac:dyDescent="0.3">
      <c r="A25" s="32" t="s">
        <v>82</v>
      </c>
      <c r="B25" s="33" t="s">
        <v>78</v>
      </c>
      <c r="C25" s="34" t="s">
        <v>224</v>
      </c>
      <c r="D25" s="36" t="s">
        <v>159</v>
      </c>
      <c r="E25" s="135" t="s">
        <v>226</v>
      </c>
      <c r="F25" s="48">
        <v>3.66</v>
      </c>
      <c r="G25" s="48"/>
      <c r="H25" s="49"/>
      <c r="I25" s="34"/>
      <c r="J25" s="52">
        <v>17</v>
      </c>
      <c r="K25" s="39">
        <f t="shared" si="37"/>
        <v>0.62219999999999998</v>
      </c>
      <c r="L25" s="39">
        <f t="shared" si="19"/>
        <v>4.2822000000000005</v>
      </c>
      <c r="M25" s="40">
        <f t="shared" si="20"/>
        <v>10020348</v>
      </c>
      <c r="N25" s="41">
        <v>0.5</v>
      </c>
      <c r="O25" s="185">
        <f t="shared" si="21"/>
        <v>1.83</v>
      </c>
      <c r="P25" s="40">
        <f t="shared" si="22"/>
        <v>4282200</v>
      </c>
      <c r="Q25" s="42"/>
      <c r="R25" s="40">
        <f t="shared" si="23"/>
        <v>1170000</v>
      </c>
      <c r="S25" s="43"/>
      <c r="T25" s="40">
        <f t="shared" si="24"/>
        <v>0</v>
      </c>
      <c r="U25" s="43"/>
      <c r="V25" s="44">
        <f t="shared" si="25"/>
        <v>0</v>
      </c>
      <c r="W25" s="44"/>
      <c r="X25" s="40">
        <f t="shared" si="26"/>
        <v>1703459</v>
      </c>
      <c r="Y25" s="40">
        <f t="shared" si="27"/>
        <v>801628</v>
      </c>
      <c r="Z25" s="40">
        <f t="shared" si="28"/>
        <v>50102</v>
      </c>
      <c r="AA25" s="40">
        <f t="shared" si="29"/>
        <v>300610</v>
      </c>
      <c r="AB25" s="40">
        <f t="shared" si="30"/>
        <v>150305</v>
      </c>
      <c r="AC25" s="40">
        <f t="shared" si="31"/>
        <v>100203</v>
      </c>
      <c r="AD25" s="40">
        <f t="shared" si="32"/>
        <v>100203</v>
      </c>
      <c r="AE25" s="40">
        <f t="shared" si="33"/>
        <v>200407</v>
      </c>
      <c r="AF25" s="33"/>
      <c r="AG25" s="40"/>
      <c r="AH25" s="40">
        <f t="shared" si="17"/>
        <v>14420412</v>
      </c>
      <c r="AI25" s="33"/>
      <c r="AJ25" s="65"/>
      <c r="AK25" s="26"/>
      <c r="AL25" s="26"/>
      <c r="AM25" s="26"/>
      <c r="AN25" s="58"/>
    </row>
    <row r="26" spans="1:41" ht="20.25" customHeight="1" x14ac:dyDescent="0.3">
      <c r="A26" s="32" t="s">
        <v>107</v>
      </c>
      <c r="B26" s="33" t="s">
        <v>10</v>
      </c>
      <c r="C26" s="34" t="s">
        <v>224</v>
      </c>
      <c r="D26" s="36" t="s">
        <v>163</v>
      </c>
      <c r="E26" s="126" t="s">
        <v>211</v>
      </c>
      <c r="F26" s="37">
        <v>3.66</v>
      </c>
      <c r="G26" s="37"/>
      <c r="H26" s="38"/>
      <c r="I26" s="34"/>
      <c r="J26" s="52">
        <v>14</v>
      </c>
      <c r="K26" s="39">
        <f t="shared" si="37"/>
        <v>0.51239999999999997</v>
      </c>
      <c r="L26" s="39">
        <f t="shared" si="19"/>
        <v>4.1723999999999997</v>
      </c>
      <c r="M26" s="40">
        <f t="shared" si="20"/>
        <v>9763416</v>
      </c>
      <c r="N26" s="41">
        <v>0.5</v>
      </c>
      <c r="O26" s="185">
        <f t="shared" si="21"/>
        <v>1.83</v>
      </c>
      <c r="P26" s="40">
        <f t="shared" si="22"/>
        <v>4282200</v>
      </c>
      <c r="Q26" s="42"/>
      <c r="R26" s="40">
        <f t="shared" si="23"/>
        <v>1170000</v>
      </c>
      <c r="S26" s="43">
        <v>0.3</v>
      </c>
      <c r="T26" s="40">
        <f t="shared" si="24"/>
        <v>702000</v>
      </c>
      <c r="U26" s="43"/>
      <c r="V26" s="44">
        <f t="shared" si="25"/>
        <v>0</v>
      </c>
      <c r="W26" s="44">
        <f>0.2*2340000</f>
        <v>468000</v>
      </c>
      <c r="X26" s="40">
        <f t="shared" si="26"/>
        <v>1659781</v>
      </c>
      <c r="Y26" s="40">
        <f t="shared" si="27"/>
        <v>781073</v>
      </c>
      <c r="Z26" s="40">
        <f t="shared" si="28"/>
        <v>48817</v>
      </c>
      <c r="AA26" s="40">
        <f t="shared" si="29"/>
        <v>292902</v>
      </c>
      <c r="AB26" s="40">
        <f t="shared" si="30"/>
        <v>146451</v>
      </c>
      <c r="AC26" s="40">
        <f t="shared" si="31"/>
        <v>97634</v>
      </c>
      <c r="AD26" s="40">
        <f t="shared" si="32"/>
        <v>97634</v>
      </c>
      <c r="AE26" s="40">
        <f t="shared" si="33"/>
        <v>195268</v>
      </c>
      <c r="AF26" s="33"/>
      <c r="AG26" s="40"/>
      <c r="AH26" s="40">
        <f t="shared" si="17"/>
        <v>15360458</v>
      </c>
      <c r="AI26" s="33"/>
      <c r="AJ26" s="65"/>
      <c r="AK26" s="26" t="e">
        <f>AJ22-AK22</f>
        <v>#REF!</v>
      </c>
      <c r="AL26" s="26"/>
      <c r="AM26" s="26"/>
      <c r="AN26" s="58"/>
    </row>
    <row r="27" spans="1:41" ht="20.25" customHeight="1" x14ac:dyDescent="0.3">
      <c r="A27" s="32" t="s">
        <v>87</v>
      </c>
      <c r="B27" s="33" t="s">
        <v>85</v>
      </c>
      <c r="C27" s="34" t="s">
        <v>224</v>
      </c>
      <c r="D27" s="36" t="s">
        <v>162</v>
      </c>
      <c r="E27" s="135" t="s">
        <v>226</v>
      </c>
      <c r="F27" s="37">
        <v>3.66</v>
      </c>
      <c r="G27" s="37">
        <v>0.2</v>
      </c>
      <c r="H27" s="38"/>
      <c r="I27" s="34"/>
      <c r="J27" s="50">
        <v>15</v>
      </c>
      <c r="K27" s="39">
        <f t="shared" ref="K27:K51" si="38">ROUND((F27+G27+I27)*J27/100,4)</f>
        <v>0.57899999999999996</v>
      </c>
      <c r="L27" s="39">
        <f t="shared" si="19"/>
        <v>4.4390000000000001</v>
      </c>
      <c r="M27" s="40">
        <f t="shared" si="20"/>
        <v>10387260</v>
      </c>
      <c r="N27" s="41">
        <v>0.5</v>
      </c>
      <c r="O27" s="185">
        <f t="shared" si="21"/>
        <v>1.9300000000000002</v>
      </c>
      <c r="P27" s="40">
        <f t="shared" si="22"/>
        <v>4516200</v>
      </c>
      <c r="Q27" s="42"/>
      <c r="R27" s="40">
        <f t="shared" si="23"/>
        <v>1170000</v>
      </c>
      <c r="S27" s="43"/>
      <c r="T27" s="40">
        <f t="shared" si="24"/>
        <v>0</v>
      </c>
      <c r="U27" s="43"/>
      <c r="V27" s="44">
        <f t="shared" si="25"/>
        <v>0</v>
      </c>
      <c r="W27" s="44"/>
      <c r="X27" s="40">
        <f t="shared" si="26"/>
        <v>1765834</v>
      </c>
      <c r="Y27" s="40">
        <f t="shared" si="27"/>
        <v>830981</v>
      </c>
      <c r="Z27" s="40">
        <f t="shared" si="28"/>
        <v>51936</v>
      </c>
      <c r="AA27" s="40">
        <f t="shared" si="29"/>
        <v>311618</v>
      </c>
      <c r="AB27" s="40">
        <f t="shared" si="30"/>
        <v>155809</v>
      </c>
      <c r="AC27" s="40">
        <f t="shared" si="31"/>
        <v>103873</v>
      </c>
      <c r="AD27" s="40">
        <f t="shared" si="32"/>
        <v>103873</v>
      </c>
      <c r="AE27" s="40">
        <f t="shared" si="33"/>
        <v>207745</v>
      </c>
      <c r="AF27" s="33"/>
      <c r="AG27" s="40"/>
      <c r="AH27" s="40">
        <f t="shared" si="17"/>
        <v>14982797</v>
      </c>
      <c r="AI27" s="33"/>
      <c r="AJ27" s="30"/>
      <c r="AK27" s="30"/>
      <c r="AL27" s="30"/>
      <c r="AM27" s="30"/>
      <c r="AN27" s="30"/>
    </row>
    <row r="28" spans="1:41" ht="20.25" customHeight="1" x14ac:dyDescent="0.3">
      <c r="A28" s="32" t="s">
        <v>89</v>
      </c>
      <c r="B28" s="33" t="s">
        <v>22</v>
      </c>
      <c r="C28" s="34" t="s">
        <v>224</v>
      </c>
      <c r="D28" s="47" t="s">
        <v>164</v>
      </c>
      <c r="E28" s="135" t="s">
        <v>206</v>
      </c>
      <c r="F28" s="48">
        <v>3.33</v>
      </c>
      <c r="G28" s="48"/>
      <c r="H28" s="64"/>
      <c r="I28" s="34"/>
      <c r="J28" s="50">
        <v>12</v>
      </c>
      <c r="K28" s="39">
        <f t="shared" si="38"/>
        <v>0.39960000000000001</v>
      </c>
      <c r="L28" s="39">
        <f t="shared" si="19"/>
        <v>3.7296</v>
      </c>
      <c r="M28" s="40">
        <f t="shared" si="20"/>
        <v>8727264</v>
      </c>
      <c r="N28" s="41">
        <v>0.5</v>
      </c>
      <c r="O28" s="185">
        <f t="shared" si="21"/>
        <v>1.665</v>
      </c>
      <c r="P28" s="40">
        <f t="shared" si="22"/>
        <v>3896100</v>
      </c>
      <c r="Q28" s="42"/>
      <c r="R28" s="40">
        <f t="shared" si="23"/>
        <v>1170000</v>
      </c>
      <c r="S28" s="43"/>
      <c r="T28" s="40">
        <f t="shared" si="24"/>
        <v>0</v>
      </c>
      <c r="U28" s="43"/>
      <c r="V28" s="44">
        <f t="shared" si="25"/>
        <v>0</v>
      </c>
      <c r="W28" s="44"/>
      <c r="X28" s="40">
        <f t="shared" si="26"/>
        <v>1483635</v>
      </c>
      <c r="Y28" s="40">
        <f t="shared" si="27"/>
        <v>698181</v>
      </c>
      <c r="Z28" s="40">
        <f t="shared" si="28"/>
        <v>43636</v>
      </c>
      <c r="AA28" s="40">
        <f t="shared" si="29"/>
        <v>261818</v>
      </c>
      <c r="AB28" s="40">
        <f t="shared" si="30"/>
        <v>130909</v>
      </c>
      <c r="AC28" s="40">
        <f t="shared" si="31"/>
        <v>87273</v>
      </c>
      <c r="AD28" s="40">
        <f t="shared" si="32"/>
        <v>87273</v>
      </c>
      <c r="AE28" s="40">
        <f t="shared" si="33"/>
        <v>174545</v>
      </c>
      <c r="AF28" s="33"/>
      <c r="AG28" s="40"/>
      <c r="AH28" s="40">
        <f t="shared" si="17"/>
        <v>12877001</v>
      </c>
      <c r="AI28" s="33"/>
      <c r="AJ28" s="30"/>
      <c r="AK28" s="30"/>
      <c r="AL28" s="30"/>
      <c r="AM28" s="30"/>
      <c r="AN28" s="30"/>
    </row>
    <row r="29" spans="1:41" ht="20.25" customHeight="1" x14ac:dyDescent="0.3">
      <c r="A29" s="32" t="s">
        <v>81</v>
      </c>
      <c r="B29" s="33" t="s">
        <v>3</v>
      </c>
      <c r="C29" s="34" t="s">
        <v>225</v>
      </c>
      <c r="D29" s="36" t="s">
        <v>153</v>
      </c>
      <c r="E29" s="136" t="s">
        <v>212</v>
      </c>
      <c r="F29" s="37">
        <v>5.0199999999999996</v>
      </c>
      <c r="G29" s="37"/>
      <c r="H29" s="38"/>
      <c r="I29" s="34"/>
      <c r="J29" s="52">
        <v>25</v>
      </c>
      <c r="K29" s="39">
        <f t="shared" si="38"/>
        <v>1.2549999999999999</v>
      </c>
      <c r="L29" s="39">
        <f t="shared" si="19"/>
        <v>6.2749999999999995</v>
      </c>
      <c r="M29" s="40">
        <f t="shared" si="20"/>
        <v>14683500</v>
      </c>
      <c r="N29" s="41">
        <v>0.5</v>
      </c>
      <c r="O29" s="185">
        <f t="shared" si="21"/>
        <v>2.5099999999999998</v>
      </c>
      <c r="P29" s="40">
        <f t="shared" si="22"/>
        <v>5873400</v>
      </c>
      <c r="Q29" s="42"/>
      <c r="R29" s="40">
        <f t="shared" si="23"/>
        <v>1170000</v>
      </c>
      <c r="S29" s="43"/>
      <c r="T29" s="40">
        <f t="shared" si="24"/>
        <v>0</v>
      </c>
      <c r="U29" s="43"/>
      <c r="V29" s="44">
        <f t="shared" si="25"/>
        <v>0</v>
      </c>
      <c r="W29" s="44"/>
      <c r="X29" s="40">
        <f t="shared" si="26"/>
        <v>2496195</v>
      </c>
      <c r="Y29" s="40">
        <f t="shared" si="27"/>
        <v>1174680</v>
      </c>
      <c r="Z29" s="40">
        <f t="shared" si="28"/>
        <v>73418</v>
      </c>
      <c r="AA29" s="40">
        <f t="shared" si="29"/>
        <v>440505</v>
      </c>
      <c r="AB29" s="40">
        <f t="shared" si="30"/>
        <v>220253</v>
      </c>
      <c r="AC29" s="40">
        <f t="shared" si="31"/>
        <v>146835</v>
      </c>
      <c r="AD29" s="40">
        <f t="shared" si="32"/>
        <v>146835</v>
      </c>
      <c r="AE29" s="40">
        <f t="shared" si="33"/>
        <v>293670</v>
      </c>
      <c r="AF29" s="33"/>
      <c r="AG29" s="40"/>
      <c r="AH29" s="40">
        <f t="shared" si="17"/>
        <v>20185132</v>
      </c>
      <c r="AI29" s="33"/>
      <c r="AJ29" s="30"/>
      <c r="AK29" s="30"/>
      <c r="AL29" s="30"/>
      <c r="AM29" s="30"/>
      <c r="AN29" s="30"/>
    </row>
    <row r="30" spans="1:41" ht="20.25" customHeight="1" x14ac:dyDescent="0.3">
      <c r="A30" s="32" t="s">
        <v>117</v>
      </c>
      <c r="B30" s="33" t="s">
        <v>66</v>
      </c>
      <c r="C30" s="34" t="s">
        <v>225</v>
      </c>
      <c r="D30" s="36" t="s">
        <v>161</v>
      </c>
      <c r="E30" s="126" t="s">
        <v>203</v>
      </c>
      <c r="F30" s="48">
        <v>5.0199999999999996</v>
      </c>
      <c r="G30" s="48"/>
      <c r="H30" s="49"/>
      <c r="I30" s="34"/>
      <c r="J30" s="52">
        <v>28</v>
      </c>
      <c r="K30" s="39">
        <f t="shared" si="38"/>
        <v>1.4056</v>
      </c>
      <c r="L30" s="39">
        <f t="shared" si="19"/>
        <v>6.4255999999999993</v>
      </c>
      <c r="M30" s="40">
        <f t="shared" si="20"/>
        <v>15035904</v>
      </c>
      <c r="N30" s="41">
        <v>0.5</v>
      </c>
      <c r="O30" s="185">
        <f t="shared" si="21"/>
        <v>2.5099999999999998</v>
      </c>
      <c r="P30" s="40">
        <f t="shared" si="22"/>
        <v>5873400</v>
      </c>
      <c r="Q30" s="42"/>
      <c r="R30" s="40">
        <f t="shared" si="23"/>
        <v>1170000</v>
      </c>
      <c r="S30" s="43"/>
      <c r="T30" s="40">
        <f t="shared" si="24"/>
        <v>0</v>
      </c>
      <c r="U30" s="43"/>
      <c r="V30" s="44">
        <f t="shared" si="25"/>
        <v>0</v>
      </c>
      <c r="W30" s="44"/>
      <c r="X30" s="40">
        <f t="shared" si="26"/>
        <v>2556104</v>
      </c>
      <c r="Y30" s="40">
        <f t="shared" si="27"/>
        <v>1202872</v>
      </c>
      <c r="Z30" s="40">
        <f t="shared" si="28"/>
        <v>75180</v>
      </c>
      <c r="AA30" s="40">
        <f t="shared" si="29"/>
        <v>451077</v>
      </c>
      <c r="AB30" s="40">
        <f t="shared" si="30"/>
        <v>225539</v>
      </c>
      <c r="AC30" s="40">
        <f t="shared" si="31"/>
        <v>150359</v>
      </c>
      <c r="AD30" s="40">
        <f t="shared" si="32"/>
        <v>150359</v>
      </c>
      <c r="AE30" s="40">
        <f t="shared" si="33"/>
        <v>300718</v>
      </c>
      <c r="AF30" s="33"/>
      <c r="AG30" s="40"/>
      <c r="AH30" s="40">
        <f t="shared" si="17"/>
        <v>20500534</v>
      </c>
      <c r="AI30" s="33"/>
      <c r="AJ30" s="30"/>
      <c r="AK30" s="30"/>
      <c r="AL30" s="30"/>
      <c r="AM30" s="30"/>
      <c r="AN30" s="30"/>
    </row>
    <row r="31" spans="1:41" ht="20.25" customHeight="1" x14ac:dyDescent="0.3">
      <c r="A31" s="32" t="s">
        <v>118</v>
      </c>
      <c r="B31" s="33" t="s">
        <v>4</v>
      </c>
      <c r="C31" s="42" t="s">
        <v>5</v>
      </c>
      <c r="D31" s="35" t="s">
        <v>194</v>
      </c>
      <c r="E31" s="126" t="s">
        <v>199</v>
      </c>
      <c r="F31" s="48">
        <v>3.06</v>
      </c>
      <c r="G31" s="48">
        <v>0.2</v>
      </c>
      <c r="H31" s="64"/>
      <c r="I31" s="64"/>
      <c r="J31" s="42"/>
      <c r="K31" s="39">
        <f t="shared" si="38"/>
        <v>0</v>
      </c>
      <c r="L31" s="39">
        <f t="shared" si="19"/>
        <v>3.2600000000000002</v>
      </c>
      <c r="M31" s="40">
        <f t="shared" si="20"/>
        <v>7628400</v>
      </c>
      <c r="N31" s="41">
        <v>0</v>
      </c>
      <c r="O31" s="185">
        <f t="shared" si="21"/>
        <v>0</v>
      </c>
      <c r="P31" s="40">
        <f t="shared" si="22"/>
        <v>0</v>
      </c>
      <c r="Q31" s="42"/>
      <c r="R31" s="40">
        <f t="shared" si="23"/>
        <v>1170000</v>
      </c>
      <c r="S31" s="43">
        <v>0.1</v>
      </c>
      <c r="T31" s="40">
        <f t="shared" si="24"/>
        <v>234000</v>
      </c>
      <c r="U31" s="43">
        <v>0.2</v>
      </c>
      <c r="V31" s="44">
        <f t="shared" si="25"/>
        <v>468000</v>
      </c>
      <c r="W31" s="44"/>
      <c r="X31" s="40">
        <f t="shared" si="26"/>
        <v>1296828</v>
      </c>
      <c r="Y31" s="40">
        <f t="shared" si="27"/>
        <v>610272</v>
      </c>
      <c r="Z31" s="40">
        <f t="shared" si="28"/>
        <v>38142</v>
      </c>
      <c r="AA31" s="40">
        <f t="shared" si="29"/>
        <v>228852</v>
      </c>
      <c r="AB31" s="40">
        <f t="shared" si="30"/>
        <v>114426</v>
      </c>
      <c r="AC31" s="40">
        <f t="shared" si="31"/>
        <v>76284</v>
      </c>
      <c r="AD31" s="40">
        <f t="shared" si="32"/>
        <v>76284</v>
      </c>
      <c r="AE31" s="40">
        <f t="shared" si="33"/>
        <v>152568</v>
      </c>
      <c r="AF31" s="33"/>
      <c r="AG31" s="40"/>
      <c r="AH31" s="40">
        <f t="shared" si="17"/>
        <v>8699418</v>
      </c>
      <c r="AI31" s="33"/>
      <c r="AJ31" s="30"/>
      <c r="AK31" s="30"/>
      <c r="AL31" s="30"/>
      <c r="AM31" s="30"/>
      <c r="AN31" s="30"/>
    </row>
    <row r="32" spans="1:41" ht="20.25" customHeight="1" x14ac:dyDescent="0.3">
      <c r="A32" s="32" t="s">
        <v>119</v>
      </c>
      <c r="B32" s="33" t="s">
        <v>7</v>
      </c>
      <c r="C32" s="34" t="s">
        <v>225</v>
      </c>
      <c r="D32" s="36" t="s">
        <v>160</v>
      </c>
      <c r="E32" s="126" t="s">
        <v>213</v>
      </c>
      <c r="F32" s="37">
        <v>4</v>
      </c>
      <c r="G32" s="155"/>
      <c r="H32" s="33"/>
      <c r="I32" s="57"/>
      <c r="J32" s="52">
        <v>22</v>
      </c>
      <c r="K32" s="39">
        <f t="shared" si="38"/>
        <v>0.88</v>
      </c>
      <c r="L32" s="39">
        <f t="shared" si="19"/>
        <v>4.88</v>
      </c>
      <c r="M32" s="40">
        <f t="shared" si="20"/>
        <v>11419200</v>
      </c>
      <c r="N32" s="41">
        <v>0.5</v>
      </c>
      <c r="O32" s="185">
        <f t="shared" si="21"/>
        <v>2</v>
      </c>
      <c r="P32" s="40">
        <f t="shared" si="22"/>
        <v>4680000</v>
      </c>
      <c r="Q32" s="42"/>
      <c r="R32" s="40">
        <f t="shared" si="23"/>
        <v>1170000</v>
      </c>
      <c r="S32" s="43"/>
      <c r="T32" s="40">
        <f t="shared" si="24"/>
        <v>0</v>
      </c>
      <c r="U32" s="43"/>
      <c r="V32" s="44">
        <f t="shared" si="25"/>
        <v>0</v>
      </c>
      <c r="W32" s="44">
        <v>0</v>
      </c>
      <c r="X32" s="40">
        <f t="shared" si="26"/>
        <v>1941264</v>
      </c>
      <c r="Y32" s="40">
        <f t="shared" si="27"/>
        <v>913536</v>
      </c>
      <c r="Z32" s="40">
        <f t="shared" si="28"/>
        <v>57096</v>
      </c>
      <c r="AA32" s="40">
        <f t="shared" si="29"/>
        <v>342576</v>
      </c>
      <c r="AB32" s="40">
        <f t="shared" si="30"/>
        <v>171288</v>
      </c>
      <c r="AC32" s="40">
        <f t="shared" si="31"/>
        <v>114192</v>
      </c>
      <c r="AD32" s="40">
        <f t="shared" si="32"/>
        <v>114192</v>
      </c>
      <c r="AE32" s="40">
        <f t="shared" si="33"/>
        <v>228384</v>
      </c>
      <c r="AF32" s="33"/>
      <c r="AG32" s="40"/>
      <c r="AH32" s="40">
        <f t="shared" si="17"/>
        <v>16070184</v>
      </c>
      <c r="AI32" s="33"/>
      <c r="AJ32" s="30"/>
      <c r="AK32" s="30"/>
      <c r="AL32" s="30"/>
      <c r="AM32" s="30"/>
      <c r="AN32" s="30"/>
    </row>
    <row r="33" spans="1:40" ht="20.25" customHeight="1" x14ac:dyDescent="0.3">
      <c r="A33" s="32" t="s">
        <v>120</v>
      </c>
      <c r="B33" s="33" t="s">
        <v>8</v>
      </c>
      <c r="C33" s="34" t="s">
        <v>225</v>
      </c>
      <c r="D33" s="36" t="s">
        <v>161</v>
      </c>
      <c r="E33" s="137" t="s">
        <v>214</v>
      </c>
      <c r="F33" s="37">
        <v>5.0199999999999996</v>
      </c>
      <c r="G33" s="155"/>
      <c r="H33" s="33"/>
      <c r="I33" s="57"/>
      <c r="J33" s="50">
        <v>30</v>
      </c>
      <c r="K33" s="39">
        <f t="shared" si="38"/>
        <v>1.506</v>
      </c>
      <c r="L33" s="39">
        <f t="shared" si="19"/>
        <v>6.5259999999999998</v>
      </c>
      <c r="M33" s="40">
        <f t="shared" si="20"/>
        <v>15270840</v>
      </c>
      <c r="N33" s="41">
        <v>0.5</v>
      </c>
      <c r="O33" s="185">
        <f t="shared" si="21"/>
        <v>2.5099999999999998</v>
      </c>
      <c r="P33" s="40">
        <f t="shared" si="22"/>
        <v>5873400</v>
      </c>
      <c r="Q33" s="42"/>
      <c r="R33" s="40">
        <f t="shared" si="23"/>
        <v>1170000</v>
      </c>
      <c r="S33" s="43"/>
      <c r="T33" s="40">
        <f t="shared" si="24"/>
        <v>0</v>
      </c>
      <c r="U33" s="43"/>
      <c r="V33" s="44">
        <f t="shared" si="25"/>
        <v>0</v>
      </c>
      <c r="W33" s="44"/>
      <c r="X33" s="40">
        <f t="shared" si="26"/>
        <v>2596043</v>
      </c>
      <c r="Y33" s="40">
        <f t="shared" si="27"/>
        <v>1221667</v>
      </c>
      <c r="Z33" s="40">
        <f t="shared" si="28"/>
        <v>76354</v>
      </c>
      <c r="AA33" s="40">
        <f t="shared" si="29"/>
        <v>458125</v>
      </c>
      <c r="AB33" s="40">
        <f t="shared" si="30"/>
        <v>229063</v>
      </c>
      <c r="AC33" s="40">
        <f t="shared" si="31"/>
        <v>152708</v>
      </c>
      <c r="AD33" s="40">
        <f t="shared" si="32"/>
        <v>152708</v>
      </c>
      <c r="AE33" s="40">
        <f t="shared" si="33"/>
        <v>305417</v>
      </c>
      <c r="AF33" s="33"/>
      <c r="AG33" s="40"/>
      <c r="AH33" s="40">
        <f t="shared" si="17"/>
        <v>20710802</v>
      </c>
      <c r="AI33" s="33"/>
      <c r="AJ33" s="11"/>
      <c r="AK33" s="11"/>
      <c r="AL33" s="11"/>
      <c r="AM33" s="11"/>
      <c r="AN33" s="11"/>
    </row>
    <row r="34" spans="1:40" ht="20.25" customHeight="1" x14ac:dyDescent="0.3">
      <c r="A34" s="32" t="s">
        <v>121</v>
      </c>
      <c r="B34" s="33" t="s">
        <v>9</v>
      </c>
      <c r="C34" s="34" t="s">
        <v>225</v>
      </c>
      <c r="D34" s="36" t="s">
        <v>158</v>
      </c>
      <c r="E34" s="136" t="s">
        <v>215</v>
      </c>
      <c r="F34" s="37">
        <v>5.0199999999999996</v>
      </c>
      <c r="G34" s="155"/>
      <c r="H34" s="33"/>
      <c r="I34" s="57"/>
      <c r="J34" s="50">
        <v>27</v>
      </c>
      <c r="K34" s="39">
        <f t="shared" si="38"/>
        <v>1.3553999999999999</v>
      </c>
      <c r="L34" s="39">
        <f t="shared" si="19"/>
        <v>6.3753999999999991</v>
      </c>
      <c r="M34" s="40">
        <f t="shared" si="20"/>
        <v>14918436</v>
      </c>
      <c r="N34" s="41">
        <v>0.5</v>
      </c>
      <c r="O34" s="185">
        <f t="shared" si="21"/>
        <v>2.5099999999999998</v>
      </c>
      <c r="P34" s="40">
        <f t="shared" si="22"/>
        <v>5873400</v>
      </c>
      <c r="Q34" s="42"/>
      <c r="R34" s="40">
        <f t="shared" si="23"/>
        <v>1170000</v>
      </c>
      <c r="S34" s="43"/>
      <c r="T34" s="40">
        <f t="shared" si="24"/>
        <v>0</v>
      </c>
      <c r="U34" s="43"/>
      <c r="V34" s="44">
        <f t="shared" si="25"/>
        <v>0</v>
      </c>
      <c r="W34" s="44"/>
      <c r="X34" s="40">
        <f t="shared" si="26"/>
        <v>2536134</v>
      </c>
      <c r="Y34" s="40">
        <f t="shared" si="27"/>
        <v>1193475</v>
      </c>
      <c r="Z34" s="40">
        <f t="shared" si="28"/>
        <v>74592</v>
      </c>
      <c r="AA34" s="40">
        <f t="shared" si="29"/>
        <v>447553</v>
      </c>
      <c r="AB34" s="40">
        <f t="shared" si="30"/>
        <v>223777</v>
      </c>
      <c r="AC34" s="40">
        <f t="shared" si="31"/>
        <v>149184</v>
      </c>
      <c r="AD34" s="40">
        <f t="shared" si="32"/>
        <v>149184</v>
      </c>
      <c r="AE34" s="40">
        <f t="shared" si="33"/>
        <v>298369</v>
      </c>
      <c r="AF34" s="33"/>
      <c r="AG34" s="40"/>
      <c r="AH34" s="40">
        <f t="shared" si="17"/>
        <v>20395400</v>
      </c>
      <c r="AI34" s="33"/>
      <c r="AJ34" s="11"/>
      <c r="AK34" s="11"/>
      <c r="AL34" s="11"/>
      <c r="AM34" s="11"/>
      <c r="AN34" s="11"/>
    </row>
    <row r="35" spans="1:40" ht="20.25" customHeight="1" x14ac:dyDescent="0.3">
      <c r="A35" s="32" t="s">
        <v>122</v>
      </c>
      <c r="B35" s="33" t="s">
        <v>11</v>
      </c>
      <c r="C35" s="34" t="s">
        <v>224</v>
      </c>
      <c r="D35" s="47" t="s">
        <v>165</v>
      </c>
      <c r="E35" s="135" t="s">
        <v>183</v>
      </c>
      <c r="F35" s="156">
        <v>3</v>
      </c>
      <c r="G35" s="156"/>
      <c r="H35" s="157"/>
      <c r="I35" s="157"/>
      <c r="J35" s="158">
        <v>8</v>
      </c>
      <c r="K35" s="39">
        <f t="shared" ref="K35:K36" si="39">ROUND((F35+G35+I35)*J35/100,4)</f>
        <v>0.24</v>
      </c>
      <c r="L35" s="39">
        <f t="shared" si="19"/>
        <v>3.24</v>
      </c>
      <c r="M35" s="40">
        <f t="shared" si="20"/>
        <v>7581600</v>
      </c>
      <c r="N35" s="41">
        <v>0.5</v>
      </c>
      <c r="O35" s="185">
        <f t="shared" si="21"/>
        <v>1.5</v>
      </c>
      <c r="P35" s="40">
        <f t="shared" si="22"/>
        <v>3510000</v>
      </c>
      <c r="Q35" s="42"/>
      <c r="R35" s="40">
        <f t="shared" si="23"/>
        <v>1170000</v>
      </c>
      <c r="S35" s="43"/>
      <c r="T35" s="40">
        <f t="shared" si="24"/>
        <v>0</v>
      </c>
      <c r="U35" s="43"/>
      <c r="V35" s="44">
        <f t="shared" si="25"/>
        <v>0</v>
      </c>
      <c r="W35" s="44"/>
      <c r="X35" s="40">
        <f t="shared" si="26"/>
        <v>1288872</v>
      </c>
      <c r="Y35" s="40">
        <f t="shared" si="27"/>
        <v>606528</v>
      </c>
      <c r="Z35" s="40">
        <f t="shared" si="28"/>
        <v>37908</v>
      </c>
      <c r="AA35" s="40">
        <f t="shared" si="29"/>
        <v>227448</v>
      </c>
      <c r="AB35" s="40">
        <f t="shared" si="30"/>
        <v>113724</v>
      </c>
      <c r="AC35" s="40">
        <f t="shared" si="31"/>
        <v>75816</v>
      </c>
      <c r="AD35" s="40">
        <f t="shared" si="32"/>
        <v>75816</v>
      </c>
      <c r="AE35" s="40">
        <f t="shared" si="33"/>
        <v>151632</v>
      </c>
      <c r="AF35" s="33"/>
      <c r="AG35" s="40"/>
      <c r="AH35" s="40">
        <f t="shared" si="17"/>
        <v>11465532</v>
      </c>
      <c r="AI35" s="33"/>
      <c r="AJ35" s="11"/>
      <c r="AK35" s="11"/>
      <c r="AL35" s="11"/>
      <c r="AM35" s="11"/>
      <c r="AN35" s="11"/>
    </row>
    <row r="36" spans="1:40" ht="20.25" customHeight="1" x14ac:dyDescent="0.3">
      <c r="A36" s="32" t="s">
        <v>123</v>
      </c>
      <c r="B36" s="33" t="s">
        <v>27</v>
      </c>
      <c r="C36" s="34" t="s">
        <v>224</v>
      </c>
      <c r="D36" s="36" t="s">
        <v>164</v>
      </c>
      <c r="E36" s="126" t="s">
        <v>216</v>
      </c>
      <c r="F36" s="48">
        <v>3.33</v>
      </c>
      <c r="G36" s="159"/>
      <c r="H36" s="152"/>
      <c r="I36" s="57"/>
      <c r="J36" s="52">
        <v>12</v>
      </c>
      <c r="K36" s="39">
        <f t="shared" si="39"/>
        <v>0.39960000000000001</v>
      </c>
      <c r="L36" s="39">
        <f t="shared" si="19"/>
        <v>3.7296</v>
      </c>
      <c r="M36" s="40">
        <f t="shared" si="20"/>
        <v>8727264</v>
      </c>
      <c r="N36" s="41">
        <v>0.5</v>
      </c>
      <c r="O36" s="185">
        <f t="shared" si="21"/>
        <v>1.665</v>
      </c>
      <c r="P36" s="40">
        <f t="shared" si="22"/>
        <v>3896100</v>
      </c>
      <c r="Q36" s="42"/>
      <c r="R36" s="40">
        <f t="shared" si="23"/>
        <v>1170000</v>
      </c>
      <c r="S36" s="43"/>
      <c r="T36" s="40">
        <f t="shared" si="24"/>
        <v>0</v>
      </c>
      <c r="U36" s="43"/>
      <c r="V36" s="44">
        <f t="shared" si="25"/>
        <v>0</v>
      </c>
      <c r="W36" s="44"/>
      <c r="X36" s="40">
        <f t="shared" si="26"/>
        <v>1483635</v>
      </c>
      <c r="Y36" s="40">
        <f t="shared" si="27"/>
        <v>698181</v>
      </c>
      <c r="Z36" s="40">
        <f t="shared" si="28"/>
        <v>43636</v>
      </c>
      <c r="AA36" s="40">
        <f t="shared" si="29"/>
        <v>261818</v>
      </c>
      <c r="AB36" s="40">
        <f t="shared" si="30"/>
        <v>130909</v>
      </c>
      <c r="AC36" s="40">
        <f t="shared" si="31"/>
        <v>87273</v>
      </c>
      <c r="AD36" s="40">
        <f t="shared" si="32"/>
        <v>87273</v>
      </c>
      <c r="AE36" s="40">
        <f t="shared" si="33"/>
        <v>174545</v>
      </c>
      <c r="AF36" s="33"/>
      <c r="AG36" s="40"/>
      <c r="AH36" s="40">
        <f t="shared" si="17"/>
        <v>12877001</v>
      </c>
      <c r="AI36" s="33"/>
      <c r="AJ36" s="11"/>
      <c r="AK36" s="11"/>
      <c r="AL36" s="11"/>
      <c r="AM36" s="11"/>
      <c r="AN36" s="11"/>
    </row>
    <row r="37" spans="1:40" ht="20.25" customHeight="1" x14ac:dyDescent="0.3">
      <c r="A37" s="32" t="s">
        <v>124</v>
      </c>
      <c r="B37" s="33" t="s">
        <v>76</v>
      </c>
      <c r="C37" s="34" t="s">
        <v>225</v>
      </c>
      <c r="D37" s="36" t="s">
        <v>175</v>
      </c>
      <c r="E37" s="126" t="s">
        <v>217</v>
      </c>
      <c r="F37" s="48">
        <v>5.0199999999999996</v>
      </c>
      <c r="G37" s="159"/>
      <c r="H37" s="152"/>
      <c r="I37" s="57"/>
      <c r="J37" s="52">
        <v>30</v>
      </c>
      <c r="K37" s="39">
        <f t="shared" si="38"/>
        <v>1.506</v>
      </c>
      <c r="L37" s="39">
        <f t="shared" si="19"/>
        <v>6.5259999999999998</v>
      </c>
      <c r="M37" s="40">
        <f t="shared" si="20"/>
        <v>15270840</v>
      </c>
      <c r="N37" s="41">
        <v>0.5</v>
      </c>
      <c r="O37" s="185">
        <f t="shared" si="21"/>
        <v>2.5099999999999998</v>
      </c>
      <c r="P37" s="40">
        <f t="shared" si="22"/>
        <v>5873400</v>
      </c>
      <c r="Q37" s="42"/>
      <c r="R37" s="40">
        <f t="shared" si="23"/>
        <v>1170000</v>
      </c>
      <c r="S37" s="43"/>
      <c r="T37" s="40">
        <f t="shared" si="24"/>
        <v>0</v>
      </c>
      <c r="U37" s="43"/>
      <c r="V37" s="44">
        <f t="shared" si="25"/>
        <v>0</v>
      </c>
      <c r="W37" s="44"/>
      <c r="X37" s="40">
        <f t="shared" si="26"/>
        <v>2596043</v>
      </c>
      <c r="Y37" s="40">
        <f t="shared" si="27"/>
        <v>1221667</v>
      </c>
      <c r="Z37" s="40">
        <f t="shared" si="28"/>
        <v>76354</v>
      </c>
      <c r="AA37" s="40">
        <f t="shared" si="29"/>
        <v>458125</v>
      </c>
      <c r="AB37" s="40">
        <f t="shared" si="30"/>
        <v>229063</v>
      </c>
      <c r="AC37" s="40">
        <f t="shared" si="31"/>
        <v>152708</v>
      </c>
      <c r="AD37" s="40">
        <f t="shared" si="32"/>
        <v>152708</v>
      </c>
      <c r="AE37" s="40">
        <f t="shared" si="33"/>
        <v>305417</v>
      </c>
      <c r="AF37" s="33"/>
      <c r="AG37" s="40"/>
      <c r="AH37" s="40">
        <f t="shared" si="17"/>
        <v>20710802</v>
      </c>
      <c r="AI37" s="33"/>
      <c r="AJ37" s="11"/>
      <c r="AK37" s="11"/>
      <c r="AL37" s="11"/>
      <c r="AM37" s="11"/>
      <c r="AN37" s="11"/>
    </row>
    <row r="38" spans="1:40" ht="20.25" customHeight="1" x14ac:dyDescent="0.3">
      <c r="A38" s="32" t="s">
        <v>125</v>
      </c>
      <c r="B38" s="33" t="s">
        <v>70</v>
      </c>
      <c r="C38" s="34" t="s">
        <v>225</v>
      </c>
      <c r="D38" s="35" t="s">
        <v>169</v>
      </c>
      <c r="E38" s="126" t="s">
        <v>218</v>
      </c>
      <c r="F38" s="48">
        <v>4.68</v>
      </c>
      <c r="G38" s="159"/>
      <c r="H38" s="152"/>
      <c r="I38" s="57"/>
      <c r="J38" s="52">
        <v>25</v>
      </c>
      <c r="K38" s="39">
        <f t="shared" si="38"/>
        <v>1.17</v>
      </c>
      <c r="L38" s="39">
        <f t="shared" si="19"/>
        <v>5.85</v>
      </c>
      <c r="M38" s="40">
        <f t="shared" si="20"/>
        <v>13689000</v>
      </c>
      <c r="N38" s="41">
        <v>0.5</v>
      </c>
      <c r="O38" s="185">
        <f t="shared" si="21"/>
        <v>2.34</v>
      </c>
      <c r="P38" s="40">
        <f t="shared" si="22"/>
        <v>5475600</v>
      </c>
      <c r="Q38" s="42"/>
      <c r="R38" s="40">
        <f t="shared" si="23"/>
        <v>1170000</v>
      </c>
      <c r="S38" s="43"/>
      <c r="T38" s="40">
        <f t="shared" si="24"/>
        <v>0</v>
      </c>
      <c r="U38" s="43"/>
      <c r="V38" s="44">
        <f t="shared" si="25"/>
        <v>0</v>
      </c>
      <c r="W38" s="44"/>
      <c r="X38" s="40">
        <f t="shared" si="26"/>
        <v>2327130</v>
      </c>
      <c r="Y38" s="40">
        <f t="shared" si="27"/>
        <v>1095120</v>
      </c>
      <c r="Z38" s="40">
        <f t="shared" si="28"/>
        <v>68445</v>
      </c>
      <c r="AA38" s="40">
        <f t="shared" si="29"/>
        <v>410670</v>
      </c>
      <c r="AB38" s="40">
        <f t="shared" si="30"/>
        <v>205335</v>
      </c>
      <c r="AC38" s="40">
        <f t="shared" si="31"/>
        <v>136890</v>
      </c>
      <c r="AD38" s="40">
        <f t="shared" si="32"/>
        <v>136890</v>
      </c>
      <c r="AE38" s="40">
        <f t="shared" si="33"/>
        <v>273780</v>
      </c>
      <c r="AF38" s="33"/>
      <c r="AG38" s="40"/>
      <c r="AH38" s="40">
        <f t="shared" si="17"/>
        <v>18897255</v>
      </c>
      <c r="AI38" s="33"/>
      <c r="AJ38" s="11"/>
      <c r="AK38" s="11"/>
      <c r="AL38" s="11"/>
      <c r="AM38" s="11"/>
      <c r="AN38" s="11"/>
    </row>
    <row r="39" spans="1:40" ht="20.25" customHeight="1" x14ac:dyDescent="0.3">
      <c r="A39" s="32" t="s">
        <v>126</v>
      </c>
      <c r="B39" s="33" t="s">
        <v>71</v>
      </c>
      <c r="C39" s="34" t="s">
        <v>225</v>
      </c>
      <c r="D39" s="36" t="s">
        <v>155</v>
      </c>
      <c r="E39" s="126" t="s">
        <v>206</v>
      </c>
      <c r="F39" s="48">
        <v>4.34</v>
      </c>
      <c r="G39" s="160">
        <v>0.15</v>
      </c>
      <c r="H39" s="152"/>
      <c r="I39" s="57"/>
      <c r="J39" s="52">
        <v>24</v>
      </c>
      <c r="K39" s="39">
        <f t="shared" si="38"/>
        <v>1.0775999999999999</v>
      </c>
      <c r="L39" s="39">
        <f t="shared" si="19"/>
        <v>5.5676000000000005</v>
      </c>
      <c r="M39" s="40">
        <f t="shared" si="20"/>
        <v>13028184</v>
      </c>
      <c r="N39" s="41">
        <v>0.5</v>
      </c>
      <c r="O39" s="185">
        <f t="shared" si="21"/>
        <v>2.2450000000000001</v>
      </c>
      <c r="P39" s="40">
        <f t="shared" si="22"/>
        <v>5253300</v>
      </c>
      <c r="Q39" s="42"/>
      <c r="R39" s="40">
        <f t="shared" si="23"/>
        <v>1170000</v>
      </c>
      <c r="S39" s="43"/>
      <c r="T39" s="40">
        <f t="shared" si="24"/>
        <v>0</v>
      </c>
      <c r="U39" s="43"/>
      <c r="V39" s="44">
        <f t="shared" si="25"/>
        <v>0</v>
      </c>
      <c r="W39" s="44"/>
      <c r="X39" s="40">
        <f t="shared" si="26"/>
        <v>2214791</v>
      </c>
      <c r="Y39" s="40">
        <f t="shared" si="27"/>
        <v>1042255</v>
      </c>
      <c r="Z39" s="40">
        <f t="shared" si="28"/>
        <v>65141</v>
      </c>
      <c r="AA39" s="40">
        <f t="shared" si="29"/>
        <v>390846</v>
      </c>
      <c r="AB39" s="40">
        <f t="shared" si="30"/>
        <v>195423</v>
      </c>
      <c r="AC39" s="40">
        <f t="shared" si="31"/>
        <v>130282</v>
      </c>
      <c r="AD39" s="40">
        <f t="shared" si="32"/>
        <v>130282</v>
      </c>
      <c r="AE39" s="40">
        <f t="shared" si="33"/>
        <v>260564</v>
      </c>
      <c r="AF39" s="33"/>
      <c r="AG39" s="40"/>
      <c r="AH39" s="40">
        <f t="shared" si="17"/>
        <v>18083524</v>
      </c>
      <c r="AI39" s="33"/>
    </row>
    <row r="40" spans="1:40" ht="20.25" customHeight="1" x14ac:dyDescent="0.3">
      <c r="A40" s="32" t="s">
        <v>127</v>
      </c>
      <c r="B40" s="33" t="s">
        <v>12</v>
      </c>
      <c r="C40" s="42" t="s">
        <v>13</v>
      </c>
      <c r="D40" s="36" t="s">
        <v>165</v>
      </c>
      <c r="E40" s="126" t="s">
        <v>183</v>
      </c>
      <c r="F40" s="48">
        <v>2.72</v>
      </c>
      <c r="G40" s="48"/>
      <c r="H40" s="64"/>
      <c r="I40" s="64"/>
      <c r="J40" s="42"/>
      <c r="K40" s="39">
        <f t="shared" si="38"/>
        <v>0</v>
      </c>
      <c r="L40" s="39">
        <f t="shared" si="19"/>
        <v>2.72</v>
      </c>
      <c r="M40" s="40">
        <f t="shared" si="20"/>
        <v>6364800</v>
      </c>
      <c r="N40" s="41">
        <v>0</v>
      </c>
      <c r="O40" s="185">
        <f t="shared" si="21"/>
        <v>0</v>
      </c>
      <c r="P40" s="40">
        <f t="shared" si="22"/>
        <v>0</v>
      </c>
      <c r="Q40" s="42"/>
      <c r="R40" s="40">
        <f t="shared" si="23"/>
        <v>1170000</v>
      </c>
      <c r="S40" s="43"/>
      <c r="T40" s="40">
        <f t="shared" si="24"/>
        <v>0</v>
      </c>
      <c r="U40" s="43">
        <v>0.2</v>
      </c>
      <c r="V40" s="44">
        <f t="shared" si="25"/>
        <v>468000</v>
      </c>
      <c r="W40" s="44"/>
      <c r="X40" s="40">
        <f t="shared" si="26"/>
        <v>1082016</v>
      </c>
      <c r="Y40" s="40">
        <f t="shared" si="27"/>
        <v>509184</v>
      </c>
      <c r="Z40" s="40">
        <f t="shared" si="28"/>
        <v>31824</v>
      </c>
      <c r="AA40" s="40">
        <f t="shared" si="29"/>
        <v>190944</v>
      </c>
      <c r="AB40" s="40">
        <f t="shared" si="30"/>
        <v>95472</v>
      </c>
      <c r="AC40" s="40">
        <f t="shared" si="31"/>
        <v>63648</v>
      </c>
      <c r="AD40" s="40">
        <f t="shared" si="32"/>
        <v>63648</v>
      </c>
      <c r="AE40" s="40">
        <f t="shared" si="33"/>
        <v>127296</v>
      </c>
      <c r="AF40" s="33"/>
      <c r="AG40" s="40"/>
      <c r="AH40" s="40">
        <f t="shared" si="17"/>
        <v>7334496</v>
      </c>
      <c r="AI40" s="33"/>
      <c r="AK40" s="46"/>
      <c r="AL40" s="46"/>
    </row>
    <row r="41" spans="1:40" ht="20.25" customHeight="1" x14ac:dyDescent="0.3">
      <c r="A41" s="32" t="s">
        <v>128</v>
      </c>
      <c r="B41" s="66" t="s">
        <v>86</v>
      </c>
      <c r="C41" s="34" t="s">
        <v>225</v>
      </c>
      <c r="D41" s="47" t="s">
        <v>166</v>
      </c>
      <c r="E41" s="135" t="s">
        <v>219</v>
      </c>
      <c r="F41" s="67">
        <v>4.68</v>
      </c>
      <c r="G41" s="67">
        <v>0.2</v>
      </c>
      <c r="H41" s="161"/>
      <c r="I41" s="162"/>
      <c r="J41" s="163" t="s">
        <v>118</v>
      </c>
      <c r="K41" s="39">
        <f t="shared" si="38"/>
        <v>1.1224000000000001</v>
      </c>
      <c r="L41" s="39">
        <f t="shared" ref="L41:L56" si="40">F41+G41+I41+K41</f>
        <v>6.0023999999999997</v>
      </c>
      <c r="M41" s="40">
        <f t="shared" si="20"/>
        <v>14045616</v>
      </c>
      <c r="N41" s="41">
        <v>0.5</v>
      </c>
      <c r="O41" s="185">
        <f t="shared" ref="O41:O56" si="41">(F41+G41+I41)*N41</f>
        <v>2.44</v>
      </c>
      <c r="P41" s="40">
        <f t="shared" si="22"/>
        <v>5709600</v>
      </c>
      <c r="Q41" s="42"/>
      <c r="R41" s="40">
        <f t="shared" si="23"/>
        <v>1170000</v>
      </c>
      <c r="S41" s="68"/>
      <c r="T41" s="40">
        <f t="shared" si="24"/>
        <v>0</v>
      </c>
      <c r="U41" s="68"/>
      <c r="V41" s="44">
        <f t="shared" si="25"/>
        <v>0</v>
      </c>
      <c r="W41" s="44"/>
      <c r="X41" s="40">
        <f t="shared" si="26"/>
        <v>2387755</v>
      </c>
      <c r="Y41" s="40">
        <f t="shared" si="27"/>
        <v>1123649</v>
      </c>
      <c r="Z41" s="40">
        <f t="shared" si="28"/>
        <v>70228</v>
      </c>
      <c r="AA41" s="40">
        <f t="shared" si="29"/>
        <v>421368</v>
      </c>
      <c r="AB41" s="40">
        <f t="shared" si="30"/>
        <v>210684</v>
      </c>
      <c r="AC41" s="40">
        <f t="shared" si="31"/>
        <v>140456</v>
      </c>
      <c r="AD41" s="40">
        <f t="shared" si="32"/>
        <v>140456</v>
      </c>
      <c r="AE41" s="40">
        <f t="shared" si="33"/>
        <v>280912</v>
      </c>
      <c r="AF41" s="33"/>
      <c r="AG41" s="40"/>
      <c r="AH41" s="40">
        <f t="shared" si="17"/>
        <v>19450427</v>
      </c>
      <c r="AI41" s="64"/>
      <c r="AK41" s="46"/>
      <c r="AL41" s="46"/>
    </row>
    <row r="42" spans="1:40" ht="20.25" customHeight="1" x14ac:dyDescent="0.3">
      <c r="A42" s="32" t="s">
        <v>129</v>
      </c>
      <c r="B42" s="69" t="s">
        <v>88</v>
      </c>
      <c r="C42" s="34" t="s">
        <v>225</v>
      </c>
      <c r="D42" s="47" t="s">
        <v>166</v>
      </c>
      <c r="E42" s="135" t="s">
        <v>220</v>
      </c>
      <c r="F42" s="67">
        <v>5.0199999999999996</v>
      </c>
      <c r="G42" s="67">
        <v>0.2</v>
      </c>
      <c r="H42" s="70"/>
      <c r="I42" s="71"/>
      <c r="J42" s="163" t="s">
        <v>119</v>
      </c>
      <c r="K42" s="39">
        <f t="shared" si="38"/>
        <v>1.2527999999999999</v>
      </c>
      <c r="L42" s="39">
        <f t="shared" si="40"/>
        <v>6.4727999999999994</v>
      </c>
      <c r="M42" s="40">
        <f t="shared" si="20"/>
        <v>15146352</v>
      </c>
      <c r="N42" s="41">
        <v>0.5</v>
      </c>
      <c r="O42" s="185">
        <f t="shared" si="41"/>
        <v>2.61</v>
      </c>
      <c r="P42" s="40">
        <f t="shared" si="22"/>
        <v>6107400</v>
      </c>
      <c r="Q42" s="42"/>
      <c r="R42" s="40">
        <f t="shared" si="23"/>
        <v>1170000</v>
      </c>
      <c r="S42" s="68"/>
      <c r="T42" s="40">
        <f t="shared" si="24"/>
        <v>0</v>
      </c>
      <c r="U42" s="68"/>
      <c r="V42" s="44">
        <f t="shared" si="25"/>
        <v>0</v>
      </c>
      <c r="W42" s="44"/>
      <c r="X42" s="40">
        <f t="shared" si="26"/>
        <v>2574880</v>
      </c>
      <c r="Y42" s="40">
        <f t="shared" si="27"/>
        <v>1211708</v>
      </c>
      <c r="Z42" s="40">
        <f t="shared" si="28"/>
        <v>75732</v>
      </c>
      <c r="AA42" s="40">
        <f t="shared" si="29"/>
        <v>454391</v>
      </c>
      <c r="AB42" s="40">
        <f t="shared" si="30"/>
        <v>227195</v>
      </c>
      <c r="AC42" s="40">
        <f t="shared" si="31"/>
        <v>151464</v>
      </c>
      <c r="AD42" s="40">
        <f t="shared" si="32"/>
        <v>151464</v>
      </c>
      <c r="AE42" s="40">
        <f t="shared" si="33"/>
        <v>302927</v>
      </c>
      <c r="AF42" s="33"/>
      <c r="AG42" s="40"/>
      <c r="AH42" s="40">
        <f t="shared" si="17"/>
        <v>20833385</v>
      </c>
      <c r="AI42" s="64"/>
      <c r="AK42" s="46"/>
      <c r="AL42" s="46"/>
    </row>
    <row r="43" spans="1:40" ht="20.25" customHeight="1" x14ac:dyDescent="0.3">
      <c r="A43" s="32" t="s">
        <v>130</v>
      </c>
      <c r="B43" s="69" t="s">
        <v>90</v>
      </c>
      <c r="C43" s="34" t="s">
        <v>225</v>
      </c>
      <c r="D43" s="47" t="s">
        <v>155</v>
      </c>
      <c r="E43" s="135" t="s">
        <v>213</v>
      </c>
      <c r="F43" s="67">
        <v>4.34</v>
      </c>
      <c r="G43" s="67"/>
      <c r="H43" s="70"/>
      <c r="I43" s="71"/>
      <c r="J43" s="163" t="s">
        <v>119</v>
      </c>
      <c r="K43" s="39">
        <f t="shared" si="38"/>
        <v>1.0416000000000001</v>
      </c>
      <c r="L43" s="39">
        <f t="shared" si="40"/>
        <v>5.3815999999999997</v>
      </c>
      <c r="M43" s="40">
        <f t="shared" si="20"/>
        <v>12592944</v>
      </c>
      <c r="N43" s="41">
        <v>0.5</v>
      </c>
      <c r="O43" s="185">
        <f t="shared" si="41"/>
        <v>2.17</v>
      </c>
      <c r="P43" s="40">
        <f t="shared" si="22"/>
        <v>5077800</v>
      </c>
      <c r="Q43" s="42"/>
      <c r="R43" s="40">
        <f t="shared" si="23"/>
        <v>1170000</v>
      </c>
      <c r="S43" s="68"/>
      <c r="T43" s="40">
        <f t="shared" si="24"/>
        <v>0</v>
      </c>
      <c r="U43" s="68"/>
      <c r="V43" s="44">
        <f t="shared" si="25"/>
        <v>0</v>
      </c>
      <c r="W43" s="44"/>
      <c r="X43" s="40">
        <f t="shared" si="26"/>
        <v>2140800</v>
      </c>
      <c r="Y43" s="40">
        <f t="shared" si="27"/>
        <v>1007436</v>
      </c>
      <c r="Z43" s="40">
        <f t="shared" si="28"/>
        <v>62965</v>
      </c>
      <c r="AA43" s="40">
        <f t="shared" si="29"/>
        <v>377788</v>
      </c>
      <c r="AB43" s="40">
        <f t="shared" si="30"/>
        <v>188894</v>
      </c>
      <c r="AC43" s="40">
        <f t="shared" si="31"/>
        <v>125929</v>
      </c>
      <c r="AD43" s="40">
        <f t="shared" si="32"/>
        <v>125929</v>
      </c>
      <c r="AE43" s="40">
        <f t="shared" si="33"/>
        <v>251859</v>
      </c>
      <c r="AF43" s="33"/>
      <c r="AG43" s="40"/>
      <c r="AH43" s="40">
        <f t="shared" si="17"/>
        <v>17518485</v>
      </c>
      <c r="AI43" s="64"/>
      <c r="AK43" s="46"/>
      <c r="AL43" s="46"/>
    </row>
    <row r="44" spans="1:40" ht="20.25" customHeight="1" x14ac:dyDescent="0.3">
      <c r="A44" s="32" t="s">
        <v>131</v>
      </c>
      <c r="B44" s="69" t="s">
        <v>173</v>
      </c>
      <c r="C44" s="34" t="s">
        <v>224</v>
      </c>
      <c r="D44" s="47" t="s">
        <v>168</v>
      </c>
      <c r="E44" s="135" t="s">
        <v>226</v>
      </c>
      <c r="F44" s="67">
        <v>3.66</v>
      </c>
      <c r="G44" s="67">
        <v>0.15</v>
      </c>
      <c r="H44" s="70"/>
      <c r="I44" s="71"/>
      <c r="J44" s="163" t="s">
        <v>115</v>
      </c>
      <c r="K44" s="39">
        <f t="shared" si="38"/>
        <v>0.53339999999999999</v>
      </c>
      <c r="L44" s="39">
        <f t="shared" si="40"/>
        <v>4.3433999999999999</v>
      </c>
      <c r="M44" s="40">
        <f t="shared" si="20"/>
        <v>10163556</v>
      </c>
      <c r="N44" s="41">
        <v>0.5</v>
      </c>
      <c r="O44" s="185">
        <f t="shared" si="41"/>
        <v>1.905</v>
      </c>
      <c r="P44" s="40">
        <f t="shared" si="22"/>
        <v>4457700</v>
      </c>
      <c r="Q44" s="42"/>
      <c r="R44" s="40">
        <f t="shared" si="23"/>
        <v>1170000</v>
      </c>
      <c r="S44" s="68"/>
      <c r="T44" s="40">
        <f t="shared" si="24"/>
        <v>0</v>
      </c>
      <c r="U44" s="68"/>
      <c r="V44" s="44">
        <f t="shared" si="25"/>
        <v>0</v>
      </c>
      <c r="W44" s="44"/>
      <c r="X44" s="40">
        <f t="shared" si="26"/>
        <v>1727805</v>
      </c>
      <c r="Y44" s="40">
        <f t="shared" si="27"/>
        <v>813084</v>
      </c>
      <c r="Z44" s="40">
        <f t="shared" si="28"/>
        <v>50818</v>
      </c>
      <c r="AA44" s="40">
        <f t="shared" si="29"/>
        <v>304907</v>
      </c>
      <c r="AB44" s="40">
        <f t="shared" si="30"/>
        <v>152453</v>
      </c>
      <c r="AC44" s="40">
        <f t="shared" si="31"/>
        <v>101636</v>
      </c>
      <c r="AD44" s="40">
        <f t="shared" si="32"/>
        <v>101636</v>
      </c>
      <c r="AE44" s="40">
        <f t="shared" si="33"/>
        <v>203271</v>
      </c>
      <c r="AF44" s="33"/>
      <c r="AG44" s="40"/>
      <c r="AH44" s="40">
        <f t="shared" si="17"/>
        <v>14724083</v>
      </c>
      <c r="AI44" s="64"/>
      <c r="AK44" s="46"/>
      <c r="AL44" s="46"/>
    </row>
    <row r="45" spans="1:40" ht="20.25" customHeight="1" x14ac:dyDescent="0.3">
      <c r="A45" s="32" t="s">
        <v>132</v>
      </c>
      <c r="B45" s="69" t="s">
        <v>92</v>
      </c>
      <c r="C45" s="34" t="s">
        <v>225</v>
      </c>
      <c r="D45" s="47" t="s">
        <v>175</v>
      </c>
      <c r="E45" s="135" t="s">
        <v>203</v>
      </c>
      <c r="F45" s="67">
        <v>5.0199999999999996</v>
      </c>
      <c r="G45" s="67"/>
      <c r="H45" s="70"/>
      <c r="I45" s="164"/>
      <c r="J45" s="163" t="s">
        <v>117</v>
      </c>
      <c r="K45" s="39">
        <f t="shared" si="38"/>
        <v>1.1044</v>
      </c>
      <c r="L45" s="39">
        <f t="shared" si="40"/>
        <v>6.1243999999999996</v>
      </c>
      <c r="M45" s="40">
        <f t="shared" si="20"/>
        <v>14331096</v>
      </c>
      <c r="N45" s="41">
        <v>0.5</v>
      </c>
      <c r="O45" s="185">
        <f t="shared" si="41"/>
        <v>2.5099999999999998</v>
      </c>
      <c r="P45" s="40">
        <f t="shared" si="22"/>
        <v>5873400</v>
      </c>
      <c r="Q45" s="42"/>
      <c r="R45" s="40">
        <f t="shared" si="23"/>
        <v>1170000</v>
      </c>
      <c r="S45" s="68"/>
      <c r="T45" s="40">
        <f t="shared" si="24"/>
        <v>0</v>
      </c>
      <c r="U45" s="68"/>
      <c r="V45" s="44">
        <f t="shared" si="25"/>
        <v>0</v>
      </c>
      <c r="W45" s="44"/>
      <c r="X45" s="40">
        <f t="shared" si="26"/>
        <v>2436286</v>
      </c>
      <c r="Y45" s="40">
        <f t="shared" si="27"/>
        <v>1146488</v>
      </c>
      <c r="Z45" s="40">
        <f t="shared" si="28"/>
        <v>71655</v>
      </c>
      <c r="AA45" s="40">
        <f t="shared" si="29"/>
        <v>429933</v>
      </c>
      <c r="AB45" s="40">
        <f t="shared" si="30"/>
        <v>214966</v>
      </c>
      <c r="AC45" s="40">
        <f t="shared" si="31"/>
        <v>143311</v>
      </c>
      <c r="AD45" s="40">
        <f t="shared" si="32"/>
        <v>143311</v>
      </c>
      <c r="AE45" s="40">
        <f t="shared" si="33"/>
        <v>286622</v>
      </c>
      <c r="AF45" s="33"/>
      <c r="AG45" s="40"/>
      <c r="AH45" s="40">
        <f t="shared" si="17"/>
        <v>19869731</v>
      </c>
      <c r="AI45" s="64"/>
      <c r="AK45" s="46"/>
      <c r="AL45" s="46"/>
    </row>
    <row r="46" spans="1:40" ht="20.25" customHeight="1" x14ac:dyDescent="0.3">
      <c r="A46" s="32" t="s">
        <v>133</v>
      </c>
      <c r="B46" s="66" t="s">
        <v>94</v>
      </c>
      <c r="C46" s="34" t="s">
        <v>225</v>
      </c>
      <c r="D46" s="47" t="s">
        <v>171</v>
      </c>
      <c r="E46" s="135" t="s">
        <v>226</v>
      </c>
      <c r="F46" s="67">
        <v>4</v>
      </c>
      <c r="G46" s="67">
        <v>0.15</v>
      </c>
      <c r="H46" s="165"/>
      <c r="I46" s="165"/>
      <c r="J46" s="163" t="s">
        <v>91</v>
      </c>
      <c r="K46" s="39">
        <f t="shared" si="38"/>
        <v>0.66400000000000003</v>
      </c>
      <c r="L46" s="39">
        <f t="shared" si="40"/>
        <v>4.8140000000000001</v>
      </c>
      <c r="M46" s="40">
        <f t="shared" si="20"/>
        <v>11264760</v>
      </c>
      <c r="N46" s="41">
        <v>0.5</v>
      </c>
      <c r="O46" s="185">
        <f t="shared" si="41"/>
        <v>2.0750000000000002</v>
      </c>
      <c r="P46" s="40">
        <f t="shared" si="22"/>
        <v>4855500</v>
      </c>
      <c r="Q46" s="42"/>
      <c r="R46" s="40">
        <f t="shared" si="23"/>
        <v>1170000</v>
      </c>
      <c r="S46" s="68"/>
      <c r="T46" s="40">
        <f t="shared" si="24"/>
        <v>0</v>
      </c>
      <c r="U46" s="68"/>
      <c r="V46" s="44">
        <f t="shared" si="25"/>
        <v>0</v>
      </c>
      <c r="W46" s="44"/>
      <c r="X46" s="40">
        <f t="shared" si="26"/>
        <v>1915009</v>
      </c>
      <c r="Y46" s="40">
        <f t="shared" si="27"/>
        <v>901181</v>
      </c>
      <c r="Z46" s="40">
        <f t="shared" si="28"/>
        <v>56324</v>
      </c>
      <c r="AA46" s="40">
        <f t="shared" si="29"/>
        <v>337943</v>
      </c>
      <c r="AB46" s="40">
        <f t="shared" si="30"/>
        <v>168971</v>
      </c>
      <c r="AC46" s="40">
        <f t="shared" si="31"/>
        <v>112648</v>
      </c>
      <c r="AD46" s="40">
        <f t="shared" si="32"/>
        <v>112648</v>
      </c>
      <c r="AE46" s="40">
        <f t="shared" si="33"/>
        <v>225295</v>
      </c>
      <c r="AF46" s="33"/>
      <c r="AG46" s="40"/>
      <c r="AH46" s="40">
        <f t="shared" si="17"/>
        <v>16107460</v>
      </c>
      <c r="AI46" s="64"/>
      <c r="AK46" s="46"/>
      <c r="AL46" s="46"/>
    </row>
    <row r="47" spans="1:40" ht="20.25" customHeight="1" x14ac:dyDescent="0.3">
      <c r="A47" s="32" t="s">
        <v>134</v>
      </c>
      <c r="B47" s="69" t="s">
        <v>97</v>
      </c>
      <c r="C47" s="34" t="s">
        <v>224</v>
      </c>
      <c r="D47" s="36" t="s">
        <v>168</v>
      </c>
      <c r="E47" s="126" t="s">
        <v>213</v>
      </c>
      <c r="F47" s="67">
        <v>3.33</v>
      </c>
      <c r="G47" s="67">
        <v>0.15</v>
      </c>
      <c r="H47" s="70"/>
      <c r="I47" s="71"/>
      <c r="J47" s="163" t="s">
        <v>115</v>
      </c>
      <c r="K47" s="39">
        <f t="shared" si="38"/>
        <v>0.48720000000000002</v>
      </c>
      <c r="L47" s="39">
        <f t="shared" si="40"/>
        <v>3.9672000000000001</v>
      </c>
      <c r="M47" s="40">
        <f t="shared" si="20"/>
        <v>9283248</v>
      </c>
      <c r="N47" s="41">
        <v>0.5</v>
      </c>
      <c r="O47" s="185">
        <f t="shared" si="41"/>
        <v>1.74</v>
      </c>
      <c r="P47" s="40">
        <f t="shared" si="22"/>
        <v>4071600</v>
      </c>
      <c r="Q47" s="42"/>
      <c r="R47" s="40">
        <f t="shared" si="23"/>
        <v>1170000</v>
      </c>
      <c r="S47" s="68"/>
      <c r="T47" s="40">
        <f t="shared" si="24"/>
        <v>0</v>
      </c>
      <c r="U47" s="68"/>
      <c r="V47" s="44">
        <f t="shared" si="25"/>
        <v>0</v>
      </c>
      <c r="W47" s="44"/>
      <c r="X47" s="40">
        <f t="shared" si="26"/>
        <v>1578152</v>
      </c>
      <c r="Y47" s="40">
        <f t="shared" si="27"/>
        <v>742660</v>
      </c>
      <c r="Z47" s="40">
        <f t="shared" si="28"/>
        <v>46416</v>
      </c>
      <c r="AA47" s="40">
        <f t="shared" si="29"/>
        <v>278497</v>
      </c>
      <c r="AB47" s="40">
        <f t="shared" si="30"/>
        <v>139249</v>
      </c>
      <c r="AC47" s="40">
        <f t="shared" si="31"/>
        <v>92832</v>
      </c>
      <c r="AD47" s="40">
        <f t="shared" si="32"/>
        <v>92832</v>
      </c>
      <c r="AE47" s="40">
        <f t="shared" si="33"/>
        <v>185665</v>
      </c>
      <c r="AF47" s="33"/>
      <c r="AG47" s="40"/>
      <c r="AH47" s="40">
        <f t="shared" si="17"/>
        <v>13550107</v>
      </c>
      <c r="AI47" s="64"/>
      <c r="AK47" s="46"/>
      <c r="AL47" s="46"/>
    </row>
    <row r="48" spans="1:40" ht="20.25" customHeight="1" x14ac:dyDescent="0.3">
      <c r="A48" s="32" t="s">
        <v>135</v>
      </c>
      <c r="B48" s="66" t="s">
        <v>100</v>
      </c>
      <c r="C48" s="34" t="s">
        <v>224</v>
      </c>
      <c r="D48" s="47" t="s">
        <v>170</v>
      </c>
      <c r="E48" s="135" t="s">
        <v>191</v>
      </c>
      <c r="F48" s="67">
        <v>3.33</v>
      </c>
      <c r="G48" s="67"/>
      <c r="H48" s="161"/>
      <c r="I48" s="162"/>
      <c r="J48" s="163" t="s">
        <v>98</v>
      </c>
      <c r="K48" s="39">
        <f t="shared" si="38"/>
        <v>0.33300000000000002</v>
      </c>
      <c r="L48" s="39">
        <f t="shared" si="40"/>
        <v>3.6630000000000003</v>
      </c>
      <c r="M48" s="40">
        <f t="shared" si="20"/>
        <v>8571420</v>
      </c>
      <c r="N48" s="41">
        <v>0.5</v>
      </c>
      <c r="O48" s="185">
        <f t="shared" si="41"/>
        <v>1.665</v>
      </c>
      <c r="P48" s="40">
        <f t="shared" si="22"/>
        <v>3896100</v>
      </c>
      <c r="Q48" s="42"/>
      <c r="R48" s="40">
        <f t="shared" si="23"/>
        <v>1170000</v>
      </c>
      <c r="S48" s="68"/>
      <c r="T48" s="40">
        <f t="shared" si="24"/>
        <v>0</v>
      </c>
      <c r="U48" s="68"/>
      <c r="V48" s="44">
        <f t="shared" si="25"/>
        <v>0</v>
      </c>
      <c r="W48" s="44"/>
      <c r="X48" s="40">
        <f t="shared" si="26"/>
        <v>1457141</v>
      </c>
      <c r="Y48" s="40">
        <f t="shared" si="27"/>
        <v>685714</v>
      </c>
      <c r="Z48" s="40">
        <f t="shared" si="28"/>
        <v>42857</v>
      </c>
      <c r="AA48" s="40">
        <f t="shared" si="29"/>
        <v>257143</v>
      </c>
      <c r="AB48" s="40">
        <f t="shared" si="30"/>
        <v>128571</v>
      </c>
      <c r="AC48" s="40">
        <f t="shared" si="31"/>
        <v>85714</v>
      </c>
      <c r="AD48" s="40">
        <f t="shared" si="32"/>
        <v>85714</v>
      </c>
      <c r="AE48" s="40">
        <f t="shared" si="33"/>
        <v>171428</v>
      </c>
      <c r="AF48" s="33"/>
      <c r="AG48" s="40"/>
      <c r="AH48" s="40">
        <f t="shared" si="17"/>
        <v>12737521</v>
      </c>
      <c r="AI48" s="64"/>
      <c r="AK48" s="46"/>
      <c r="AL48" s="46"/>
    </row>
    <row r="49" spans="1:41" ht="20.25" customHeight="1" x14ac:dyDescent="0.3">
      <c r="A49" s="32" t="s">
        <v>136</v>
      </c>
      <c r="B49" s="66" t="s">
        <v>102</v>
      </c>
      <c r="C49" s="34" t="s">
        <v>224</v>
      </c>
      <c r="D49" s="47" t="s">
        <v>167</v>
      </c>
      <c r="E49" s="135" t="s">
        <v>227</v>
      </c>
      <c r="F49" s="138"/>
      <c r="G49" s="166"/>
      <c r="H49" s="166"/>
      <c r="I49" s="299" t="s">
        <v>268</v>
      </c>
      <c r="J49" s="167"/>
      <c r="K49" s="168"/>
      <c r="L49" s="168">
        <v>0</v>
      </c>
      <c r="M49" s="40">
        <f t="shared" si="20"/>
        <v>0</v>
      </c>
      <c r="N49" s="41">
        <v>0.5</v>
      </c>
      <c r="O49" s="185">
        <f>(2.67)*N49</f>
        <v>1.335</v>
      </c>
      <c r="P49" s="40">
        <f t="shared" si="22"/>
        <v>3123900</v>
      </c>
      <c r="Q49" s="42">
        <v>0</v>
      </c>
      <c r="R49" s="40">
        <v>0</v>
      </c>
      <c r="S49" s="68"/>
      <c r="T49" s="40">
        <f t="shared" si="24"/>
        <v>0</v>
      </c>
      <c r="U49" s="68"/>
      <c r="V49" s="44">
        <f t="shared" si="25"/>
        <v>0</v>
      </c>
      <c r="W49" s="44"/>
      <c r="X49" s="40">
        <f t="shared" si="26"/>
        <v>0</v>
      </c>
      <c r="Y49" s="40">
        <f t="shared" si="27"/>
        <v>0</v>
      </c>
      <c r="Z49" s="40">
        <f t="shared" si="28"/>
        <v>0</v>
      </c>
      <c r="AA49" s="40">
        <f t="shared" si="29"/>
        <v>0</v>
      </c>
      <c r="AB49" s="40">
        <f t="shared" si="30"/>
        <v>0</v>
      </c>
      <c r="AC49" s="40">
        <f t="shared" si="31"/>
        <v>0</v>
      </c>
      <c r="AD49" s="40">
        <f t="shared" si="32"/>
        <v>0</v>
      </c>
      <c r="AE49" s="40">
        <f t="shared" si="33"/>
        <v>0</v>
      </c>
      <c r="AF49" s="33"/>
      <c r="AG49" s="40"/>
      <c r="AH49" s="40">
        <f t="shared" si="17"/>
        <v>3123900</v>
      </c>
      <c r="AI49" s="64"/>
      <c r="AK49" s="46"/>
      <c r="AL49" s="46"/>
    </row>
    <row r="50" spans="1:41" ht="20.25" customHeight="1" x14ac:dyDescent="0.3">
      <c r="A50" s="32" t="s">
        <v>137</v>
      </c>
      <c r="B50" s="69" t="s">
        <v>146</v>
      </c>
      <c r="C50" s="132" t="s">
        <v>148</v>
      </c>
      <c r="D50" s="47" t="s">
        <v>159</v>
      </c>
      <c r="E50" s="135" t="s">
        <v>213</v>
      </c>
      <c r="F50" s="67">
        <v>3.66</v>
      </c>
      <c r="G50" s="48"/>
      <c r="H50" s="70"/>
      <c r="I50" s="71"/>
      <c r="J50" s="133"/>
      <c r="K50" s="39">
        <f t="shared" si="38"/>
        <v>0</v>
      </c>
      <c r="L50" s="39">
        <f t="shared" si="40"/>
        <v>3.66</v>
      </c>
      <c r="M50" s="40">
        <f t="shared" si="20"/>
        <v>8564400</v>
      </c>
      <c r="N50" s="41">
        <v>0</v>
      </c>
      <c r="O50" s="185">
        <f t="shared" si="41"/>
        <v>0</v>
      </c>
      <c r="P50" s="40">
        <f t="shared" si="22"/>
        <v>0</v>
      </c>
      <c r="Q50" s="42"/>
      <c r="R50" s="40">
        <f t="shared" si="23"/>
        <v>1170000</v>
      </c>
      <c r="S50" s="68">
        <v>0.1</v>
      </c>
      <c r="T50" s="40">
        <f t="shared" si="24"/>
        <v>234000</v>
      </c>
      <c r="U50" s="68"/>
      <c r="V50" s="44">
        <f t="shared" si="25"/>
        <v>0</v>
      </c>
      <c r="W50" s="44"/>
      <c r="X50" s="40">
        <f t="shared" si="26"/>
        <v>1455948</v>
      </c>
      <c r="Y50" s="40">
        <f t="shared" si="27"/>
        <v>685152</v>
      </c>
      <c r="Z50" s="40">
        <f t="shared" si="28"/>
        <v>42822</v>
      </c>
      <c r="AA50" s="40">
        <f t="shared" si="29"/>
        <v>256932</v>
      </c>
      <c r="AB50" s="40">
        <f t="shared" si="30"/>
        <v>128466</v>
      </c>
      <c r="AC50" s="40">
        <f t="shared" si="31"/>
        <v>85644</v>
      </c>
      <c r="AD50" s="40">
        <f t="shared" si="32"/>
        <v>85644</v>
      </c>
      <c r="AE50" s="40">
        <f t="shared" si="33"/>
        <v>171288</v>
      </c>
      <c r="AF50" s="33"/>
      <c r="AG50" s="40"/>
      <c r="AH50" s="40">
        <f t="shared" si="17"/>
        <v>9069138</v>
      </c>
      <c r="AI50" s="64"/>
      <c r="AK50" s="46"/>
    </row>
    <row r="51" spans="1:41" ht="20.25" customHeight="1" x14ac:dyDescent="0.3">
      <c r="A51" s="32" t="s">
        <v>138</v>
      </c>
      <c r="B51" s="69" t="s">
        <v>104</v>
      </c>
      <c r="C51" s="34" t="s">
        <v>105</v>
      </c>
      <c r="D51" s="47" t="s">
        <v>172</v>
      </c>
      <c r="E51" s="135" t="s">
        <v>192</v>
      </c>
      <c r="F51" s="67">
        <v>3.06</v>
      </c>
      <c r="G51" s="67">
        <v>0.15</v>
      </c>
      <c r="H51" s="70"/>
      <c r="I51" s="71"/>
      <c r="J51" s="133"/>
      <c r="K51" s="39">
        <f t="shared" si="38"/>
        <v>0</v>
      </c>
      <c r="L51" s="39">
        <f t="shared" si="40"/>
        <v>3.21</v>
      </c>
      <c r="M51" s="40">
        <f t="shared" si="20"/>
        <v>7511400</v>
      </c>
      <c r="N51" s="41">
        <v>0.2</v>
      </c>
      <c r="O51" s="185">
        <f t="shared" si="41"/>
        <v>0.64200000000000002</v>
      </c>
      <c r="P51" s="40">
        <f t="shared" si="22"/>
        <v>1502280</v>
      </c>
      <c r="Q51" s="42"/>
      <c r="R51" s="40">
        <f t="shared" si="23"/>
        <v>1170000</v>
      </c>
      <c r="S51" s="68"/>
      <c r="T51" s="40">
        <f t="shared" si="24"/>
        <v>0</v>
      </c>
      <c r="U51" s="68"/>
      <c r="V51" s="44">
        <f t="shared" si="25"/>
        <v>0</v>
      </c>
      <c r="W51" s="44"/>
      <c r="X51" s="40">
        <f t="shared" si="26"/>
        <v>1276938</v>
      </c>
      <c r="Y51" s="40">
        <f t="shared" si="27"/>
        <v>600912</v>
      </c>
      <c r="Z51" s="40">
        <f t="shared" si="28"/>
        <v>37557</v>
      </c>
      <c r="AA51" s="40">
        <f t="shared" si="29"/>
        <v>225342</v>
      </c>
      <c r="AB51" s="40">
        <f t="shared" si="30"/>
        <v>112671</v>
      </c>
      <c r="AC51" s="40">
        <f t="shared" si="31"/>
        <v>75114</v>
      </c>
      <c r="AD51" s="40">
        <f t="shared" si="32"/>
        <v>75114</v>
      </c>
      <c r="AE51" s="40">
        <f t="shared" si="33"/>
        <v>150228</v>
      </c>
      <c r="AF51" s="33"/>
      <c r="AG51" s="40"/>
      <c r="AH51" s="40">
        <f t="shared" si="17"/>
        <v>9394983</v>
      </c>
      <c r="AI51" s="64"/>
      <c r="AK51" s="46"/>
    </row>
    <row r="52" spans="1:41" ht="20.25" customHeight="1" x14ac:dyDescent="0.3">
      <c r="A52" s="32" t="s">
        <v>139</v>
      </c>
      <c r="B52" s="33" t="s">
        <v>196</v>
      </c>
      <c r="C52" s="34" t="s">
        <v>224</v>
      </c>
      <c r="D52" s="35" t="s">
        <v>180</v>
      </c>
      <c r="E52" s="126" t="s">
        <v>221</v>
      </c>
      <c r="F52" s="169">
        <v>3</v>
      </c>
      <c r="G52" s="170"/>
      <c r="H52" s="171"/>
      <c r="I52" s="172"/>
      <c r="J52" s="173" t="s">
        <v>101</v>
      </c>
      <c r="K52" s="174">
        <f t="shared" ref="K52" si="42">ROUND((F52+G52+I52)*J52/100,4)</f>
        <v>0.18</v>
      </c>
      <c r="L52" s="39">
        <f t="shared" si="40"/>
        <v>3.18</v>
      </c>
      <c r="M52" s="40">
        <f t="shared" si="20"/>
        <v>7441200</v>
      </c>
      <c r="N52" s="41">
        <v>0.5</v>
      </c>
      <c r="O52" s="185">
        <f t="shared" si="41"/>
        <v>1.5</v>
      </c>
      <c r="P52" s="40">
        <f t="shared" si="22"/>
        <v>3510000</v>
      </c>
      <c r="Q52" s="42"/>
      <c r="R52" s="40">
        <f t="shared" si="23"/>
        <v>1170000</v>
      </c>
      <c r="S52" s="68"/>
      <c r="T52" s="40">
        <f t="shared" si="24"/>
        <v>0</v>
      </c>
      <c r="U52" s="68"/>
      <c r="V52" s="44">
        <f t="shared" si="25"/>
        <v>0</v>
      </c>
      <c r="W52" s="44"/>
      <c r="X52" s="40">
        <f t="shared" si="26"/>
        <v>1265004</v>
      </c>
      <c r="Y52" s="40">
        <f t="shared" si="27"/>
        <v>595296</v>
      </c>
      <c r="Z52" s="40">
        <f t="shared" si="28"/>
        <v>37206</v>
      </c>
      <c r="AA52" s="40">
        <f t="shared" si="29"/>
        <v>223236</v>
      </c>
      <c r="AB52" s="40">
        <f t="shared" si="30"/>
        <v>111618</v>
      </c>
      <c r="AC52" s="40">
        <f t="shared" si="31"/>
        <v>74412</v>
      </c>
      <c r="AD52" s="40">
        <f t="shared" si="32"/>
        <v>74412</v>
      </c>
      <c r="AE52" s="40">
        <f t="shared" si="33"/>
        <v>148824</v>
      </c>
      <c r="AF52" s="33"/>
      <c r="AG52" s="40"/>
      <c r="AH52" s="40">
        <f t="shared" si="17"/>
        <v>11339874</v>
      </c>
      <c r="AI52" s="64"/>
      <c r="AK52" s="46"/>
    </row>
    <row r="53" spans="1:41" ht="20.25" customHeight="1" x14ac:dyDescent="0.3">
      <c r="A53" s="32" t="s">
        <v>140</v>
      </c>
      <c r="B53" s="33" t="s">
        <v>184</v>
      </c>
      <c r="C53" s="34" t="s">
        <v>224</v>
      </c>
      <c r="D53" s="175" t="s">
        <v>182</v>
      </c>
      <c r="E53" s="135" t="s">
        <v>226</v>
      </c>
      <c r="F53" s="55">
        <v>4.32</v>
      </c>
      <c r="G53" s="74"/>
      <c r="H53" s="176"/>
      <c r="I53" s="177"/>
      <c r="J53" s="178" t="s">
        <v>119</v>
      </c>
      <c r="K53" s="39">
        <f t="shared" ref="K53:K55" si="43">ROUND((F53+G53+I53)*J53/100,4)</f>
        <v>1.0367999999999999</v>
      </c>
      <c r="L53" s="39">
        <f t="shared" si="40"/>
        <v>5.3567999999999998</v>
      </c>
      <c r="M53" s="40">
        <f t="shared" si="20"/>
        <v>12534912</v>
      </c>
      <c r="N53" s="41">
        <v>0.5</v>
      </c>
      <c r="O53" s="185">
        <f t="shared" si="41"/>
        <v>2.16</v>
      </c>
      <c r="P53" s="40">
        <f t="shared" si="22"/>
        <v>5054400</v>
      </c>
      <c r="Q53" s="42"/>
      <c r="R53" s="40">
        <f t="shared" si="23"/>
        <v>1170000</v>
      </c>
      <c r="S53" s="68"/>
      <c r="T53" s="40">
        <f t="shared" si="24"/>
        <v>0</v>
      </c>
      <c r="U53" s="179"/>
      <c r="V53" s="44">
        <f t="shared" si="25"/>
        <v>0</v>
      </c>
      <c r="W53" s="75"/>
      <c r="X53" s="40">
        <f t="shared" si="26"/>
        <v>2130935</v>
      </c>
      <c r="Y53" s="40">
        <f t="shared" si="27"/>
        <v>1002793</v>
      </c>
      <c r="Z53" s="40">
        <f t="shared" si="28"/>
        <v>62675</v>
      </c>
      <c r="AA53" s="40">
        <f t="shared" si="29"/>
        <v>376047</v>
      </c>
      <c r="AB53" s="40">
        <f t="shared" si="30"/>
        <v>188024</v>
      </c>
      <c r="AC53" s="40">
        <f t="shared" si="31"/>
        <v>125349</v>
      </c>
      <c r="AD53" s="40">
        <f t="shared" si="32"/>
        <v>125349</v>
      </c>
      <c r="AE53" s="40">
        <f t="shared" si="33"/>
        <v>250698</v>
      </c>
      <c r="AF53" s="33"/>
      <c r="AG53" s="40"/>
      <c r="AH53" s="40">
        <f t="shared" si="17"/>
        <v>17443146</v>
      </c>
      <c r="AI53" s="180"/>
      <c r="AK53" s="46"/>
    </row>
    <row r="54" spans="1:41" ht="20.25" customHeight="1" x14ac:dyDescent="0.3">
      <c r="A54" s="32" t="s">
        <v>141</v>
      </c>
      <c r="B54" s="33" t="s">
        <v>186</v>
      </c>
      <c r="C54" s="34" t="s">
        <v>225</v>
      </c>
      <c r="D54" s="175" t="s">
        <v>187</v>
      </c>
      <c r="E54" s="136" t="s">
        <v>221</v>
      </c>
      <c r="F54" s="55">
        <v>4.68</v>
      </c>
      <c r="G54" s="74"/>
      <c r="H54" s="176"/>
      <c r="I54" s="177"/>
      <c r="J54" s="178" t="s">
        <v>120</v>
      </c>
      <c r="K54" s="39">
        <f t="shared" si="43"/>
        <v>1.17</v>
      </c>
      <c r="L54" s="39">
        <f t="shared" si="40"/>
        <v>5.85</v>
      </c>
      <c r="M54" s="40">
        <f t="shared" si="20"/>
        <v>13689000</v>
      </c>
      <c r="N54" s="41">
        <v>0.5</v>
      </c>
      <c r="O54" s="185">
        <f t="shared" si="41"/>
        <v>2.34</v>
      </c>
      <c r="P54" s="40">
        <f t="shared" si="22"/>
        <v>5475600</v>
      </c>
      <c r="Q54" s="42"/>
      <c r="R54" s="40">
        <f t="shared" si="23"/>
        <v>1170000</v>
      </c>
      <c r="S54" s="68"/>
      <c r="T54" s="40">
        <f t="shared" si="24"/>
        <v>0</v>
      </c>
      <c r="U54" s="179"/>
      <c r="V54" s="44">
        <f t="shared" si="25"/>
        <v>0</v>
      </c>
      <c r="W54" s="75"/>
      <c r="X54" s="40">
        <f t="shared" si="26"/>
        <v>2327130</v>
      </c>
      <c r="Y54" s="40">
        <f t="shared" si="27"/>
        <v>1095120</v>
      </c>
      <c r="Z54" s="40">
        <f t="shared" si="28"/>
        <v>68445</v>
      </c>
      <c r="AA54" s="40">
        <f t="shared" si="29"/>
        <v>410670</v>
      </c>
      <c r="AB54" s="40">
        <f t="shared" si="30"/>
        <v>205335</v>
      </c>
      <c r="AC54" s="40">
        <f t="shared" si="31"/>
        <v>136890</v>
      </c>
      <c r="AD54" s="40">
        <f t="shared" si="32"/>
        <v>136890</v>
      </c>
      <c r="AE54" s="40">
        <f t="shared" si="33"/>
        <v>273780</v>
      </c>
      <c r="AF54" s="33"/>
      <c r="AG54" s="40"/>
      <c r="AH54" s="40">
        <f t="shared" si="17"/>
        <v>18897255</v>
      </c>
      <c r="AI54" s="180"/>
      <c r="AK54" s="46"/>
      <c r="AM54" s="46"/>
    </row>
    <row r="55" spans="1:41" ht="20.25" customHeight="1" x14ac:dyDescent="0.3">
      <c r="A55" s="32" t="s">
        <v>142</v>
      </c>
      <c r="B55" s="33" t="s">
        <v>185</v>
      </c>
      <c r="C55" s="34" t="s">
        <v>224</v>
      </c>
      <c r="D55" s="175" t="s">
        <v>188</v>
      </c>
      <c r="E55" s="126" t="s">
        <v>215</v>
      </c>
      <c r="F55" s="55">
        <v>3.99</v>
      </c>
      <c r="G55" s="74"/>
      <c r="H55" s="176"/>
      <c r="I55" s="177"/>
      <c r="J55" s="178" t="s">
        <v>87</v>
      </c>
      <c r="K55" s="39">
        <f t="shared" si="43"/>
        <v>0.7581</v>
      </c>
      <c r="L55" s="39">
        <f t="shared" si="40"/>
        <v>4.7481</v>
      </c>
      <c r="M55" s="40">
        <f t="shared" si="20"/>
        <v>11110554</v>
      </c>
      <c r="N55" s="41">
        <v>0.5</v>
      </c>
      <c r="O55" s="185">
        <f t="shared" si="41"/>
        <v>1.9950000000000001</v>
      </c>
      <c r="P55" s="40">
        <f t="shared" si="22"/>
        <v>4668300</v>
      </c>
      <c r="Q55" s="42"/>
      <c r="R55" s="40">
        <f t="shared" si="23"/>
        <v>1170000</v>
      </c>
      <c r="S55" s="68"/>
      <c r="T55" s="40">
        <f t="shared" si="24"/>
        <v>0</v>
      </c>
      <c r="U55" s="179"/>
      <c r="V55" s="44">
        <f t="shared" si="25"/>
        <v>0</v>
      </c>
      <c r="W55" s="75"/>
      <c r="X55" s="40">
        <f t="shared" si="26"/>
        <v>1888794</v>
      </c>
      <c r="Y55" s="40">
        <f t="shared" si="27"/>
        <v>888844</v>
      </c>
      <c r="Z55" s="40">
        <f t="shared" si="28"/>
        <v>55553</v>
      </c>
      <c r="AA55" s="40">
        <f t="shared" si="29"/>
        <v>333317</v>
      </c>
      <c r="AB55" s="40">
        <f t="shared" si="30"/>
        <v>166658</v>
      </c>
      <c r="AC55" s="40">
        <f t="shared" si="31"/>
        <v>111106</v>
      </c>
      <c r="AD55" s="40">
        <f t="shared" si="32"/>
        <v>111106</v>
      </c>
      <c r="AE55" s="40">
        <f t="shared" si="33"/>
        <v>222211</v>
      </c>
      <c r="AF55" s="33"/>
      <c r="AG55" s="40"/>
      <c r="AH55" s="40">
        <f t="shared" si="17"/>
        <v>15782246</v>
      </c>
      <c r="AI55" s="180"/>
    </row>
    <row r="56" spans="1:41" ht="20.25" customHeight="1" x14ac:dyDescent="0.3">
      <c r="A56" s="32" t="s">
        <v>143</v>
      </c>
      <c r="B56" s="76" t="s">
        <v>181</v>
      </c>
      <c r="C56" s="34" t="s">
        <v>224</v>
      </c>
      <c r="D56" s="35" t="s">
        <v>230</v>
      </c>
      <c r="E56" s="126" t="s">
        <v>222</v>
      </c>
      <c r="F56" s="37">
        <v>2.34</v>
      </c>
      <c r="G56" s="37"/>
      <c r="H56" s="38"/>
      <c r="I56" s="34"/>
      <c r="J56" s="52"/>
      <c r="K56" s="39">
        <f>ROUND((F56+G56+I56)*J56/100,4)</f>
        <v>0</v>
      </c>
      <c r="L56" s="39">
        <f t="shared" si="40"/>
        <v>2.34</v>
      </c>
      <c r="M56" s="40">
        <f t="shared" si="20"/>
        <v>5475600</v>
      </c>
      <c r="N56" s="41">
        <v>0.5</v>
      </c>
      <c r="O56" s="185">
        <f t="shared" si="41"/>
        <v>1.17</v>
      </c>
      <c r="P56" s="40">
        <f t="shared" si="22"/>
        <v>2737800</v>
      </c>
      <c r="Q56" s="42"/>
      <c r="R56" s="40">
        <f t="shared" si="23"/>
        <v>1170000</v>
      </c>
      <c r="S56" s="43"/>
      <c r="T56" s="40">
        <f t="shared" si="24"/>
        <v>0</v>
      </c>
      <c r="U56" s="43"/>
      <c r="V56" s="44">
        <f t="shared" si="25"/>
        <v>0</v>
      </c>
      <c r="W56" s="44"/>
      <c r="X56" s="40">
        <f t="shared" si="26"/>
        <v>930852</v>
      </c>
      <c r="Y56" s="40">
        <f t="shared" si="27"/>
        <v>438048</v>
      </c>
      <c r="Z56" s="40">
        <f t="shared" si="28"/>
        <v>27378</v>
      </c>
      <c r="AA56" s="40">
        <f t="shared" si="29"/>
        <v>164268</v>
      </c>
      <c r="AB56" s="40">
        <f t="shared" si="30"/>
        <v>82134</v>
      </c>
      <c r="AC56" s="40">
        <f t="shared" si="31"/>
        <v>54756</v>
      </c>
      <c r="AD56" s="40">
        <f t="shared" si="32"/>
        <v>54756</v>
      </c>
      <c r="AE56" s="40">
        <f t="shared" si="33"/>
        <v>109512</v>
      </c>
      <c r="AF56" s="33"/>
      <c r="AG56" s="40"/>
      <c r="AH56" s="40">
        <f t="shared" si="17"/>
        <v>8808462</v>
      </c>
      <c r="AI56" s="33"/>
    </row>
    <row r="57" spans="1:41" ht="20.25" customHeight="1" x14ac:dyDescent="0.3">
      <c r="A57" s="32" t="s">
        <v>144</v>
      </c>
      <c r="B57" s="76" t="s">
        <v>177</v>
      </c>
      <c r="C57" s="34" t="s">
        <v>80</v>
      </c>
      <c r="D57" s="47" t="s">
        <v>231</v>
      </c>
      <c r="E57" s="134" t="s">
        <v>223</v>
      </c>
      <c r="F57" s="37">
        <v>2.1</v>
      </c>
      <c r="G57" s="37"/>
      <c r="H57" s="38"/>
      <c r="I57" s="34"/>
      <c r="J57" s="52"/>
      <c r="K57" s="39">
        <f>ROUND((F57+G57+I57)*J57/100,4)</f>
        <v>0</v>
      </c>
      <c r="L57" s="39">
        <f t="shared" ref="L57" si="44">F57+G57+I57+K57</f>
        <v>2.1</v>
      </c>
      <c r="M57" s="40">
        <f t="shared" ref="M57" si="45">ROUND(L57*2340000,0)</f>
        <v>4914000</v>
      </c>
      <c r="N57" s="77">
        <v>0.5</v>
      </c>
      <c r="O57" s="185">
        <f t="shared" ref="O57" si="46">(F57+G57+I57)*N57</f>
        <v>1.05</v>
      </c>
      <c r="P57" s="40">
        <f t="shared" ref="P57" si="47">ROUND(O57*2340000,0)</f>
        <v>2457000</v>
      </c>
      <c r="Q57" s="42"/>
      <c r="R57" s="40">
        <f t="shared" si="23"/>
        <v>1170000</v>
      </c>
      <c r="S57" s="43"/>
      <c r="T57" s="40">
        <f t="shared" ref="T57" si="48">S57*2340000</f>
        <v>0</v>
      </c>
      <c r="U57" s="43"/>
      <c r="V57" s="44">
        <f t="shared" ref="V57" si="49">U57*2340000</f>
        <v>0</v>
      </c>
      <c r="W57" s="44"/>
      <c r="X57" s="40">
        <f t="shared" ref="X57" si="50">ROUND((L57*2340000*17/100),0)</f>
        <v>835380</v>
      </c>
      <c r="Y57" s="40">
        <f t="shared" ref="Y57" si="51">ROUND((L57*2340000*8/100),0)</f>
        <v>393120</v>
      </c>
      <c r="Z57" s="40">
        <f t="shared" ref="Z57" si="52">ROUND((L57*2340000*0.5/100),0)</f>
        <v>24570</v>
      </c>
      <c r="AA57" s="40">
        <f t="shared" ref="AA57" si="53">ROUND((L57*2340000*3/100),0)</f>
        <v>147420</v>
      </c>
      <c r="AB57" s="40">
        <f t="shared" ref="AB57" si="54">ROUND((L57*2340000*1.5/100),0)</f>
        <v>73710</v>
      </c>
      <c r="AC57" s="40">
        <f t="shared" ref="AC57" si="55">ROUND((L57*2340000*1/100),0)</f>
        <v>49140</v>
      </c>
      <c r="AD57" s="40">
        <f t="shared" ref="AD57" si="56">ROUND((L57*2340000*1/100),0)</f>
        <v>49140</v>
      </c>
      <c r="AE57" s="40">
        <f t="shared" ref="AE57" si="57">ROUND((L57*2340000*2/100),0)</f>
        <v>98280</v>
      </c>
      <c r="AF57" s="33"/>
      <c r="AG57" s="40"/>
      <c r="AH57" s="40">
        <f t="shared" si="17"/>
        <v>8025030</v>
      </c>
      <c r="AI57" s="33"/>
      <c r="AJ57" s="78"/>
      <c r="AK57" s="79"/>
      <c r="AL57" s="17"/>
      <c r="AM57" s="80"/>
      <c r="AN57" s="72"/>
    </row>
    <row r="58" spans="1:41" ht="20.25" customHeight="1" x14ac:dyDescent="0.3">
      <c r="A58" s="32" t="s">
        <v>235</v>
      </c>
      <c r="B58" s="76" t="s">
        <v>232</v>
      </c>
      <c r="C58" s="34" t="s">
        <v>233</v>
      </c>
      <c r="D58" s="300" t="s">
        <v>234</v>
      </c>
      <c r="E58" s="134" t="s">
        <v>212</v>
      </c>
      <c r="F58" s="37">
        <v>4</v>
      </c>
      <c r="G58" s="37"/>
      <c r="H58" s="38"/>
      <c r="I58" s="34"/>
      <c r="J58" s="302">
        <v>11</v>
      </c>
      <c r="K58" s="39">
        <f>ROUND((F58+G58+I58)*J58/100,4)</f>
        <v>0.44</v>
      </c>
      <c r="L58" s="39">
        <f t="shared" ref="L58" si="58">F58+G58+I58+K58</f>
        <v>4.4400000000000004</v>
      </c>
      <c r="M58" s="40">
        <f t="shared" ref="M58" si="59">ROUND(L58*2340000,0)</f>
        <v>10389600</v>
      </c>
      <c r="N58" s="77">
        <v>0.5</v>
      </c>
      <c r="O58" s="185">
        <f t="shared" ref="O58" si="60">(F58+G58+I58)*N58</f>
        <v>2</v>
      </c>
      <c r="P58" s="40">
        <f t="shared" ref="P58" si="61">ROUND(O58*2340000,0)</f>
        <v>4680000</v>
      </c>
      <c r="Q58" s="42"/>
      <c r="R58" s="40">
        <f t="shared" si="23"/>
        <v>1170000</v>
      </c>
      <c r="S58" s="43"/>
      <c r="T58" s="40">
        <f t="shared" ref="T58" si="62">S58*2340000</f>
        <v>0</v>
      </c>
      <c r="U58" s="43"/>
      <c r="V58" s="44">
        <f t="shared" ref="V58" si="63">U58*2340000</f>
        <v>0</v>
      </c>
      <c r="W58" s="44"/>
      <c r="X58" s="40">
        <f t="shared" ref="X58" si="64">ROUND((L58*2340000*17/100),0)</f>
        <v>1766232</v>
      </c>
      <c r="Y58" s="40">
        <f t="shared" ref="Y58" si="65">ROUND((L58*2340000*8/100),0)</f>
        <v>831168</v>
      </c>
      <c r="Z58" s="40">
        <f t="shared" ref="Z58" si="66">ROUND((L58*2340000*0.5/100),0)</f>
        <v>51948</v>
      </c>
      <c r="AA58" s="40">
        <f t="shared" ref="AA58" si="67">ROUND((L58*2340000*3/100),0)</f>
        <v>311688</v>
      </c>
      <c r="AB58" s="40">
        <f t="shared" ref="AB58" si="68">ROUND((L58*2340000*1.5/100),0)</f>
        <v>155844</v>
      </c>
      <c r="AC58" s="40">
        <f t="shared" ref="AC58" si="69">ROUND((L58*2340000*1/100),0)</f>
        <v>103896</v>
      </c>
      <c r="AD58" s="40">
        <f t="shared" ref="AD58" si="70">ROUND((L58*2340000*1/100),0)</f>
        <v>103896</v>
      </c>
      <c r="AE58" s="40">
        <f t="shared" ref="AE58" si="71">ROUND((L58*2340000*2/100),0)</f>
        <v>207792</v>
      </c>
      <c r="AF58" s="33"/>
      <c r="AG58" s="40"/>
      <c r="AH58" s="40">
        <f>M58-Y58-AB58-AD58+P58+R58+T58+V58+W58</f>
        <v>15148692</v>
      </c>
      <c r="AI58" s="33"/>
      <c r="AJ58" s="78"/>
      <c r="AK58" s="79"/>
      <c r="AL58" s="17"/>
      <c r="AM58" s="80"/>
      <c r="AN58" s="72"/>
    </row>
    <row r="59" spans="1:41" s="85" customFormat="1" ht="37.5" customHeight="1" x14ac:dyDescent="0.3">
      <c r="A59" s="279" t="s">
        <v>77</v>
      </c>
      <c r="B59" s="342" t="s">
        <v>195</v>
      </c>
      <c r="C59" s="343"/>
      <c r="D59" s="343"/>
      <c r="E59" s="344"/>
      <c r="F59" s="81">
        <f>SUM(F60:F63)</f>
        <v>8.3800000000000008</v>
      </c>
      <c r="G59" s="81">
        <v>0</v>
      </c>
      <c r="H59" s="81">
        <v>0</v>
      </c>
      <c r="I59" s="82">
        <v>0</v>
      </c>
      <c r="J59" s="83"/>
      <c r="K59" s="84">
        <v>0</v>
      </c>
      <c r="L59" s="84">
        <f>SUM(L60:L63)</f>
        <v>8.3800000000000008</v>
      </c>
      <c r="M59" s="184">
        <f t="shared" ref="M59:AI59" si="72">SUM(M60:M63)</f>
        <v>19609200</v>
      </c>
      <c r="N59" s="184">
        <f t="shared" ref="N59" si="73">SUM(N60:N63)</f>
        <v>0</v>
      </c>
      <c r="O59" s="184">
        <f t="shared" ref="O59" si="74">SUM(O60:O63)</f>
        <v>0</v>
      </c>
      <c r="P59" s="184">
        <f t="shared" ref="P59" si="75">SUM(P60:P63)</f>
        <v>0</v>
      </c>
      <c r="Q59" s="184">
        <f t="shared" ref="Q59" si="76">SUM(Q60:Q63)</f>
        <v>0</v>
      </c>
      <c r="R59" s="184">
        <f t="shared" ref="R59" si="77">SUM(R60:R63)</f>
        <v>4680000</v>
      </c>
      <c r="S59" s="184">
        <f t="shared" ref="S59" si="78">SUM(S60:S63)</f>
        <v>0</v>
      </c>
      <c r="T59" s="184">
        <f t="shared" ref="T59" si="79">SUM(T60:T63)</f>
        <v>0</v>
      </c>
      <c r="U59" s="184">
        <f t="shared" ref="U59" si="80">SUM(U60:U63)</f>
        <v>0</v>
      </c>
      <c r="V59" s="184">
        <f t="shared" ref="V59" si="81">SUM(V60:V63)</f>
        <v>0</v>
      </c>
      <c r="W59" s="184">
        <f t="shared" ref="W59" si="82">SUM(W60:W63)</f>
        <v>0</v>
      </c>
      <c r="X59" s="184">
        <f t="shared" ref="X59" si="83">SUM(X60:X63)</f>
        <v>3333564</v>
      </c>
      <c r="Y59" s="184">
        <f t="shared" ref="Y59" si="84">SUM(Y60:Y63)</f>
        <v>1568736</v>
      </c>
      <c r="Z59" s="184">
        <f t="shared" ref="Z59" si="85">SUM(Z60:Z63)</f>
        <v>98046</v>
      </c>
      <c r="AA59" s="184">
        <f t="shared" ref="AA59" si="86">SUM(AA60:AA63)</f>
        <v>588276</v>
      </c>
      <c r="AB59" s="184">
        <f t="shared" ref="AB59" si="87">SUM(AB60:AB63)</f>
        <v>294138</v>
      </c>
      <c r="AC59" s="184">
        <f t="shared" ref="AC59" si="88">SUM(AC60:AC63)</f>
        <v>196092</v>
      </c>
      <c r="AD59" s="184">
        <f t="shared" ref="AD59" si="89">SUM(AD60:AD63)</f>
        <v>196092</v>
      </c>
      <c r="AE59" s="184">
        <f t="shared" ref="AE59" si="90">SUM(AE60:AE63)</f>
        <v>392184</v>
      </c>
      <c r="AF59" s="184">
        <f t="shared" ref="AF59" si="91">SUM(AF60:AF63)</f>
        <v>0</v>
      </c>
      <c r="AG59" s="184">
        <f t="shared" ref="AG59" si="92">SUM(AG60:AG63)</f>
        <v>0</v>
      </c>
      <c r="AH59" s="184">
        <f t="shared" ref="AH59" si="93">SUM(AH60:AH63)</f>
        <v>22230234</v>
      </c>
      <c r="AI59" s="84">
        <f t="shared" si="72"/>
        <v>0</v>
      </c>
      <c r="AJ59" s="100"/>
      <c r="AK59" s="144"/>
      <c r="AL59" s="99"/>
      <c r="AM59" s="145"/>
      <c r="AN59" s="146"/>
    </row>
    <row r="60" spans="1:41" s="60" customFormat="1" ht="20.25" customHeight="1" x14ac:dyDescent="0.3">
      <c r="A60" s="86">
        <v>1</v>
      </c>
      <c r="B60" s="87" t="s">
        <v>6</v>
      </c>
      <c r="C60" s="88" t="s">
        <v>189</v>
      </c>
      <c r="D60" s="88"/>
      <c r="E60" s="89" t="s">
        <v>197</v>
      </c>
      <c r="F60" s="90">
        <v>2.58</v>
      </c>
      <c r="G60" s="90"/>
      <c r="H60" s="91"/>
      <c r="I60" s="56"/>
      <c r="J60" s="92"/>
      <c r="K60" s="93"/>
      <c r="L60" s="74">
        <f>F60</f>
        <v>2.58</v>
      </c>
      <c r="M60" s="40">
        <f t="shared" si="20"/>
        <v>6037200</v>
      </c>
      <c r="N60" s="77"/>
      <c r="O60" s="94"/>
      <c r="P60" s="40">
        <f t="shared" si="22"/>
        <v>0</v>
      </c>
      <c r="Q60" s="96"/>
      <c r="R60" s="40">
        <f t="shared" si="23"/>
        <v>1170000</v>
      </c>
      <c r="S60" s="97"/>
      <c r="T60" s="95"/>
      <c r="U60" s="97"/>
      <c r="V60" s="75"/>
      <c r="W60" s="75"/>
      <c r="X60" s="40">
        <f t="shared" ref="X60:X63" si="94">ROUND((L60*2340000*17/100),0)</f>
        <v>1026324</v>
      </c>
      <c r="Y60" s="40">
        <f t="shared" ref="Y60:Y63" si="95">ROUND((L60*2340000*8/100),0)</f>
        <v>482976</v>
      </c>
      <c r="Z60" s="40">
        <f t="shared" ref="Z60:Z63" si="96">ROUND((L60*2340000*0.5/100),0)</f>
        <v>30186</v>
      </c>
      <c r="AA60" s="40">
        <f t="shared" ref="AA60:AA63" si="97">ROUND((L60*2340000*3/100),0)</f>
        <v>181116</v>
      </c>
      <c r="AB60" s="40">
        <f t="shared" ref="AB60:AB63" si="98">ROUND((L60*2340000*1.5/100),0)</f>
        <v>90558</v>
      </c>
      <c r="AC60" s="40">
        <f t="shared" ref="AC60:AC63" si="99">ROUND((L60*2340000*1/100),0)</f>
        <v>60372</v>
      </c>
      <c r="AD60" s="40">
        <f t="shared" ref="AD60:AD63" si="100">ROUND((L60*2340000*1/100),0)</f>
        <v>60372</v>
      </c>
      <c r="AE60" s="40">
        <f t="shared" ref="AE60:AE63" si="101">ROUND((L60*2340000*2/100),0)</f>
        <v>120744</v>
      </c>
      <c r="AF60" s="87"/>
      <c r="AG60" s="95"/>
      <c r="AH60" s="95">
        <f>M60-Y60-AB60-AD60+P60+R60+T60+V60+W60</f>
        <v>6573294</v>
      </c>
      <c r="AI60" s="87"/>
      <c r="AJ60" s="100"/>
      <c r="AK60" s="101"/>
      <c r="AL60" s="102"/>
      <c r="AM60" s="103"/>
      <c r="AN60" s="104"/>
      <c r="AO60" s="85"/>
    </row>
    <row r="61" spans="1:41" s="60" customFormat="1" ht="20.25" customHeight="1" x14ac:dyDescent="0.2">
      <c r="A61" s="86">
        <v>2</v>
      </c>
      <c r="B61" s="87" t="s">
        <v>145</v>
      </c>
      <c r="C61" s="88" t="s">
        <v>189</v>
      </c>
      <c r="D61" s="88"/>
      <c r="E61" s="89" t="s">
        <v>197</v>
      </c>
      <c r="F61" s="90">
        <v>2.04</v>
      </c>
      <c r="G61" s="90"/>
      <c r="H61" s="91"/>
      <c r="I61" s="56"/>
      <c r="J61" s="92"/>
      <c r="K61" s="93"/>
      <c r="L61" s="74">
        <f>F61</f>
        <v>2.04</v>
      </c>
      <c r="M61" s="40">
        <f t="shared" si="20"/>
        <v>4773600</v>
      </c>
      <c r="N61" s="77"/>
      <c r="O61" s="94"/>
      <c r="P61" s="40">
        <f t="shared" si="22"/>
        <v>0</v>
      </c>
      <c r="Q61" s="96"/>
      <c r="R61" s="40">
        <f t="shared" si="23"/>
        <v>1170000</v>
      </c>
      <c r="S61" s="97"/>
      <c r="T61" s="95"/>
      <c r="U61" s="97"/>
      <c r="V61" s="75"/>
      <c r="W61" s="75"/>
      <c r="X61" s="40">
        <f t="shared" si="94"/>
        <v>811512</v>
      </c>
      <c r="Y61" s="40">
        <f t="shared" si="95"/>
        <v>381888</v>
      </c>
      <c r="Z61" s="40">
        <f t="shared" si="96"/>
        <v>23868</v>
      </c>
      <c r="AA61" s="40">
        <f t="shared" si="97"/>
        <v>143208</v>
      </c>
      <c r="AB61" s="40">
        <f t="shared" si="98"/>
        <v>71604</v>
      </c>
      <c r="AC61" s="40">
        <f t="shared" si="99"/>
        <v>47736</v>
      </c>
      <c r="AD61" s="40">
        <f t="shared" si="100"/>
        <v>47736</v>
      </c>
      <c r="AE61" s="40">
        <f t="shared" si="101"/>
        <v>95472</v>
      </c>
      <c r="AF61" s="87"/>
      <c r="AG61" s="95"/>
      <c r="AH61" s="95">
        <f t="shared" ref="AH61:AH63" si="102">M61-Y61-AB61-AD61+P61+R61+T61+V61+W61</f>
        <v>5442372</v>
      </c>
      <c r="AI61" s="87"/>
      <c r="AJ61" s="105"/>
      <c r="AK61" s="106"/>
      <c r="AL61" s="107"/>
    </row>
    <row r="62" spans="1:41" s="60" customFormat="1" ht="24.75" customHeight="1" x14ac:dyDescent="0.2">
      <c r="A62" s="86">
        <v>3</v>
      </c>
      <c r="B62" s="87" t="s">
        <v>178</v>
      </c>
      <c r="C62" s="88" t="s">
        <v>189</v>
      </c>
      <c r="D62" s="88"/>
      <c r="E62" s="89" t="s">
        <v>197</v>
      </c>
      <c r="F62" s="90">
        <v>1.86</v>
      </c>
      <c r="G62" s="90"/>
      <c r="H62" s="91"/>
      <c r="I62" s="56"/>
      <c r="J62" s="92"/>
      <c r="K62" s="93"/>
      <c r="L62" s="74">
        <f>F62</f>
        <v>1.86</v>
      </c>
      <c r="M62" s="40">
        <f t="shared" si="20"/>
        <v>4352400</v>
      </c>
      <c r="N62" s="77"/>
      <c r="O62" s="94"/>
      <c r="P62" s="40">
        <f t="shared" si="22"/>
        <v>0</v>
      </c>
      <c r="Q62" s="96"/>
      <c r="R62" s="40">
        <f t="shared" si="23"/>
        <v>1170000</v>
      </c>
      <c r="S62" s="97"/>
      <c r="T62" s="95"/>
      <c r="U62" s="97"/>
      <c r="V62" s="75"/>
      <c r="W62" s="75"/>
      <c r="X62" s="40">
        <f t="shared" si="94"/>
        <v>739908</v>
      </c>
      <c r="Y62" s="40">
        <f t="shared" si="95"/>
        <v>348192</v>
      </c>
      <c r="Z62" s="40">
        <f t="shared" si="96"/>
        <v>21762</v>
      </c>
      <c r="AA62" s="40">
        <f t="shared" si="97"/>
        <v>130572</v>
      </c>
      <c r="AB62" s="40">
        <f t="shared" si="98"/>
        <v>65286</v>
      </c>
      <c r="AC62" s="40">
        <f t="shared" si="99"/>
        <v>43524</v>
      </c>
      <c r="AD62" s="40">
        <f t="shared" si="100"/>
        <v>43524</v>
      </c>
      <c r="AE62" s="40">
        <f t="shared" si="101"/>
        <v>87048</v>
      </c>
      <c r="AF62" s="87"/>
      <c r="AG62" s="95"/>
      <c r="AH62" s="95">
        <f t="shared" si="102"/>
        <v>5065398</v>
      </c>
      <c r="AI62" s="108"/>
      <c r="AJ62" s="105"/>
      <c r="AK62" s="106"/>
      <c r="AL62" s="107"/>
    </row>
    <row r="63" spans="1:41" s="60" customFormat="1" ht="20.25" customHeight="1" x14ac:dyDescent="0.2">
      <c r="A63" s="86">
        <v>4</v>
      </c>
      <c r="B63" s="87" t="s">
        <v>179</v>
      </c>
      <c r="C63" s="88" t="s">
        <v>190</v>
      </c>
      <c r="D63" s="88"/>
      <c r="E63" s="89" t="s">
        <v>197</v>
      </c>
      <c r="F63" s="90">
        <v>1.9</v>
      </c>
      <c r="G63" s="90"/>
      <c r="H63" s="91"/>
      <c r="I63" s="56"/>
      <c r="J63" s="92"/>
      <c r="K63" s="93"/>
      <c r="L63" s="74">
        <f>F63</f>
        <v>1.9</v>
      </c>
      <c r="M63" s="40">
        <f t="shared" si="20"/>
        <v>4446000</v>
      </c>
      <c r="N63" s="77"/>
      <c r="O63" s="94"/>
      <c r="P63" s="40">
        <f t="shared" si="22"/>
        <v>0</v>
      </c>
      <c r="Q63" s="96"/>
      <c r="R63" s="40">
        <f t="shared" si="23"/>
        <v>1170000</v>
      </c>
      <c r="S63" s="97"/>
      <c r="T63" s="95"/>
      <c r="U63" s="97"/>
      <c r="V63" s="75"/>
      <c r="W63" s="75"/>
      <c r="X63" s="40">
        <f t="shared" si="94"/>
        <v>755820</v>
      </c>
      <c r="Y63" s="40">
        <f t="shared" si="95"/>
        <v>355680</v>
      </c>
      <c r="Z63" s="40">
        <f t="shared" si="96"/>
        <v>22230</v>
      </c>
      <c r="AA63" s="40">
        <f t="shared" si="97"/>
        <v>133380</v>
      </c>
      <c r="AB63" s="40">
        <f t="shared" si="98"/>
        <v>66690</v>
      </c>
      <c r="AC63" s="40">
        <f t="shared" si="99"/>
        <v>44460</v>
      </c>
      <c r="AD63" s="40">
        <f t="shared" si="100"/>
        <v>44460</v>
      </c>
      <c r="AE63" s="40">
        <f t="shared" si="101"/>
        <v>88920</v>
      </c>
      <c r="AF63" s="87"/>
      <c r="AG63" s="95"/>
      <c r="AH63" s="95">
        <f t="shared" si="102"/>
        <v>5149170</v>
      </c>
      <c r="AI63" s="108"/>
      <c r="AJ63" s="105"/>
      <c r="AK63" s="106"/>
      <c r="AL63" s="107"/>
    </row>
    <row r="64" spans="1:41" s="60" customFormat="1" ht="24" customHeight="1" x14ac:dyDescent="0.2">
      <c r="A64" s="362" t="s">
        <v>63</v>
      </c>
      <c r="B64" s="363"/>
      <c r="C64" s="109"/>
      <c r="D64" s="109"/>
      <c r="E64" s="109"/>
      <c r="F64" s="110">
        <f>F59+F8</f>
        <v>204.82000000000002</v>
      </c>
      <c r="G64" s="110">
        <f>G8</f>
        <v>3.4</v>
      </c>
      <c r="H64" s="110">
        <f>H8</f>
        <v>0</v>
      </c>
      <c r="I64" s="111">
        <f>I8</f>
        <v>0.20299999999999999</v>
      </c>
      <c r="J64" s="110"/>
      <c r="K64" s="111">
        <f>K8</f>
        <v>37.267599999999995</v>
      </c>
      <c r="L64" s="110">
        <f t="shared" ref="L64:AI64" si="103">L59+L8</f>
        <v>245.69060000000002</v>
      </c>
      <c r="M64" s="112">
        <f t="shared" si="103"/>
        <v>574916004</v>
      </c>
      <c r="N64" s="112">
        <f t="shared" si="103"/>
        <v>0</v>
      </c>
      <c r="O64" s="113">
        <f t="shared" si="103"/>
        <v>95.573499999999996</v>
      </c>
      <c r="P64" s="112">
        <f t="shared" si="103"/>
        <v>223641990</v>
      </c>
      <c r="Q64" s="112">
        <f t="shared" si="103"/>
        <v>0</v>
      </c>
      <c r="R64" s="112">
        <f t="shared" si="103"/>
        <v>62010000</v>
      </c>
      <c r="S64" s="110">
        <f t="shared" si="103"/>
        <v>0.5</v>
      </c>
      <c r="T64" s="112">
        <f t="shared" si="103"/>
        <v>1170000</v>
      </c>
      <c r="U64" s="110">
        <f t="shared" si="103"/>
        <v>0.4</v>
      </c>
      <c r="V64" s="112">
        <f t="shared" si="103"/>
        <v>936000</v>
      </c>
      <c r="W64" s="112">
        <f t="shared" si="103"/>
        <v>468000</v>
      </c>
      <c r="X64" s="112">
        <f t="shared" si="103"/>
        <v>97735720</v>
      </c>
      <c r="Y64" s="112">
        <f t="shared" si="103"/>
        <v>45993281</v>
      </c>
      <c r="Z64" s="112">
        <f t="shared" si="103"/>
        <v>2874579</v>
      </c>
      <c r="AA64" s="112">
        <f t="shared" si="103"/>
        <v>17247479</v>
      </c>
      <c r="AB64" s="112">
        <f t="shared" si="103"/>
        <v>8623740</v>
      </c>
      <c r="AC64" s="112">
        <f t="shared" si="103"/>
        <v>5749161</v>
      </c>
      <c r="AD64" s="112">
        <f t="shared" si="103"/>
        <v>5749161</v>
      </c>
      <c r="AE64" s="112">
        <f t="shared" si="103"/>
        <v>11498318</v>
      </c>
      <c r="AF64" s="112">
        <f t="shared" si="103"/>
        <v>0</v>
      </c>
      <c r="AG64" s="112">
        <f t="shared" si="103"/>
        <v>0</v>
      </c>
      <c r="AH64" s="112">
        <f>AH59+AH8</f>
        <v>802775812</v>
      </c>
      <c r="AI64" s="112">
        <f t="shared" si="103"/>
        <v>0</v>
      </c>
      <c r="AJ64" s="105"/>
      <c r="AK64" s="106"/>
      <c r="AL64" s="107"/>
    </row>
    <row r="65" spans="1:41" ht="21.75" customHeight="1" x14ac:dyDescent="0.3">
      <c r="A65" s="364" t="s">
        <v>283</v>
      </c>
      <c r="B65" s="364"/>
      <c r="C65" s="364"/>
      <c r="D65" s="364"/>
      <c r="E65" s="364"/>
      <c r="F65" s="364"/>
      <c r="G65" s="364"/>
      <c r="H65" s="364"/>
      <c r="I65" s="364"/>
      <c r="J65" s="364"/>
      <c r="K65" s="364"/>
      <c r="L65" s="364"/>
      <c r="M65" s="364"/>
      <c r="N65" s="364"/>
      <c r="O65" s="364"/>
      <c r="P65" s="364"/>
      <c r="Q65" s="364"/>
      <c r="R65" s="364"/>
      <c r="S65" s="364"/>
      <c r="T65" s="364"/>
      <c r="U65" s="364"/>
      <c r="V65" s="364"/>
      <c r="W65" s="364"/>
      <c r="X65" s="364"/>
      <c r="Y65" s="364"/>
      <c r="Z65" s="364"/>
      <c r="AA65" s="364"/>
      <c r="AB65" s="3"/>
      <c r="AC65" s="3"/>
      <c r="AD65" s="3"/>
      <c r="AE65" s="3"/>
      <c r="AF65" s="3"/>
      <c r="AG65" s="3"/>
      <c r="AH65" s="3"/>
      <c r="AI65" s="3"/>
    </row>
    <row r="66" spans="1:41" x14ac:dyDescent="0.3">
      <c r="A66" s="114"/>
      <c r="B66" s="3"/>
      <c r="C66" s="115"/>
      <c r="F66" s="116"/>
      <c r="G66" s="116"/>
      <c r="H66" s="3"/>
      <c r="I66" s="3"/>
      <c r="J66" s="115"/>
      <c r="K66" s="3"/>
      <c r="L66" s="115"/>
      <c r="Q66" s="117"/>
      <c r="R66" s="118"/>
      <c r="S66" s="3"/>
      <c r="T66" s="3"/>
      <c r="U66" s="3"/>
      <c r="V66" s="115"/>
      <c r="W66" s="115"/>
      <c r="X66" s="3"/>
      <c r="Y66" s="3"/>
      <c r="Z66" s="3"/>
      <c r="AA66" s="3"/>
      <c r="AB66" s="3"/>
      <c r="AC66" s="365" t="s">
        <v>284</v>
      </c>
      <c r="AD66" s="365"/>
      <c r="AE66" s="365"/>
      <c r="AF66" s="365"/>
      <c r="AG66" s="365"/>
      <c r="AH66" s="365"/>
      <c r="AI66" s="365"/>
      <c r="AO66" s="60"/>
    </row>
    <row r="67" spans="1:41" x14ac:dyDescent="0.3">
      <c r="A67" s="119"/>
      <c r="B67" s="333" t="s">
        <v>64</v>
      </c>
      <c r="C67" s="333"/>
      <c r="D67" s="333"/>
      <c r="E67" s="333"/>
      <c r="F67" s="333"/>
      <c r="G67" s="333"/>
      <c r="H67" s="333"/>
      <c r="I67" s="85"/>
      <c r="J67" s="277"/>
      <c r="K67" s="85"/>
      <c r="L67" s="120"/>
      <c r="M67" s="120"/>
      <c r="N67" s="120"/>
      <c r="O67" s="120"/>
      <c r="P67" s="120"/>
      <c r="Q67" s="120"/>
      <c r="R67" s="120"/>
      <c r="S67" s="85"/>
      <c r="T67" s="333" t="s">
        <v>23</v>
      </c>
      <c r="U67" s="333"/>
      <c r="V67" s="333"/>
      <c r="W67" s="333"/>
      <c r="X67" s="85"/>
      <c r="Y67" s="333"/>
      <c r="Z67" s="333"/>
      <c r="AA67" s="333"/>
      <c r="AB67" s="333"/>
      <c r="AC67" s="85"/>
      <c r="AD67" s="365" t="s">
        <v>106</v>
      </c>
      <c r="AE67" s="365"/>
      <c r="AF67" s="365"/>
      <c r="AG67" s="365"/>
      <c r="AH67" s="121"/>
      <c r="AI67" s="121"/>
      <c r="AJ67" s="60"/>
      <c r="AK67" s="60"/>
      <c r="AL67" s="60"/>
      <c r="AM67" s="60"/>
      <c r="AN67" s="60"/>
    </row>
    <row r="68" spans="1:41" x14ac:dyDescent="0.3">
      <c r="A68" s="114"/>
      <c r="B68" s="360" t="s">
        <v>65</v>
      </c>
      <c r="C68" s="360"/>
      <c r="D68" s="360"/>
      <c r="E68" s="360"/>
      <c r="F68" s="360"/>
      <c r="G68" s="360"/>
      <c r="H68" s="360"/>
      <c r="K68" s="122"/>
      <c r="L68" s="73"/>
      <c r="M68" s="73"/>
      <c r="N68" s="73"/>
      <c r="O68" s="73"/>
      <c r="P68" s="73"/>
      <c r="Q68" s="123"/>
      <c r="R68" s="123"/>
      <c r="T68" s="360" t="s">
        <v>65</v>
      </c>
      <c r="U68" s="360"/>
      <c r="V68" s="360"/>
      <c r="W68" s="360"/>
      <c r="Y68" s="360"/>
      <c r="Z68" s="360"/>
      <c r="AA68" s="360"/>
      <c r="AB68" s="360"/>
      <c r="AD68" s="369" t="s">
        <v>176</v>
      </c>
      <c r="AE68" s="369"/>
      <c r="AF68" s="369"/>
      <c r="AG68" s="369"/>
      <c r="AH68" s="3"/>
      <c r="AI68" s="3"/>
    </row>
    <row r="69" spans="1:41" x14ac:dyDescent="0.3">
      <c r="A69" s="114"/>
      <c r="C69" s="182"/>
      <c r="F69" s="6"/>
      <c r="G69" s="6"/>
      <c r="K69" s="73"/>
      <c r="L69" s="73"/>
      <c r="M69" s="73"/>
      <c r="N69" s="73"/>
      <c r="O69" s="73"/>
      <c r="P69" s="73"/>
      <c r="Q69" s="123"/>
      <c r="R69" s="123"/>
      <c r="V69" s="182"/>
      <c r="W69" s="182"/>
      <c r="AD69" s="124"/>
      <c r="AE69" s="125"/>
      <c r="AF69" s="285"/>
      <c r="AG69" s="285"/>
      <c r="AH69" s="3"/>
      <c r="AI69" s="3"/>
    </row>
    <row r="70" spans="1:41" x14ac:dyDescent="0.3">
      <c r="A70" s="114"/>
      <c r="B70" s="3"/>
      <c r="C70" s="115"/>
      <c r="F70" s="116"/>
      <c r="G70" s="116"/>
      <c r="H70" s="3"/>
      <c r="I70" s="3"/>
      <c r="J70" s="115"/>
      <c r="K70" s="73"/>
      <c r="L70" s="73"/>
      <c r="M70" s="73"/>
      <c r="N70" s="73"/>
      <c r="O70" s="73"/>
      <c r="P70" s="73"/>
      <c r="Q70" s="123"/>
      <c r="R70" s="123"/>
      <c r="S70" s="3"/>
      <c r="T70" s="3"/>
      <c r="U70" s="3"/>
      <c r="V70" s="115"/>
      <c r="W70" s="115"/>
      <c r="X70" s="3"/>
      <c r="Y70" s="3"/>
      <c r="Z70" s="3"/>
      <c r="AA70" s="3"/>
      <c r="AB70" s="3"/>
      <c r="AC70" s="3"/>
      <c r="AD70" s="124"/>
      <c r="AE70" s="125"/>
      <c r="AF70" s="125"/>
      <c r="AG70" s="125"/>
      <c r="AH70" s="3"/>
      <c r="AI70" s="3"/>
    </row>
    <row r="71" spans="1:41" x14ac:dyDescent="0.3">
      <c r="A71" s="114"/>
      <c r="B71" s="3"/>
      <c r="C71" s="115"/>
      <c r="F71" s="116"/>
      <c r="G71" s="116"/>
      <c r="H71" s="3"/>
      <c r="I71" s="3"/>
      <c r="J71" s="115"/>
      <c r="K71" s="73"/>
      <c r="L71" s="73"/>
      <c r="M71" s="73"/>
      <c r="N71" s="73"/>
      <c r="O71" s="73"/>
      <c r="P71" s="73"/>
      <c r="Q71" s="123"/>
      <c r="R71" s="123"/>
      <c r="S71" s="3"/>
      <c r="T71" s="3"/>
      <c r="U71" s="3"/>
      <c r="V71" s="115"/>
      <c r="W71" s="115"/>
      <c r="X71" s="3"/>
      <c r="Y71" s="3"/>
      <c r="Z71" s="3"/>
      <c r="AA71" s="3"/>
      <c r="AB71" s="3"/>
      <c r="AC71" s="3"/>
      <c r="AD71" s="124"/>
      <c r="AE71" s="125"/>
      <c r="AF71" s="125"/>
      <c r="AG71" s="125"/>
      <c r="AH71" s="3"/>
      <c r="AI71" s="3"/>
    </row>
    <row r="72" spans="1:41" ht="18.75" customHeight="1" x14ac:dyDescent="0.3">
      <c r="A72" s="119"/>
      <c r="B72" s="337" t="s">
        <v>147</v>
      </c>
      <c r="C72" s="337"/>
      <c r="D72" s="337"/>
      <c r="E72" s="337"/>
      <c r="F72" s="337"/>
      <c r="G72" s="337"/>
      <c r="H72" s="337"/>
      <c r="I72" s="337"/>
      <c r="J72" s="115"/>
      <c r="K72" s="73"/>
      <c r="L72" s="73"/>
      <c r="M72" s="73"/>
      <c r="N72" s="73"/>
      <c r="O72" s="73"/>
      <c r="P72" s="73"/>
      <c r="Q72" s="123"/>
      <c r="R72" s="123"/>
      <c r="S72" s="361" t="s">
        <v>147</v>
      </c>
      <c r="T72" s="361"/>
      <c r="U72" s="361"/>
      <c r="V72" s="361"/>
      <c r="W72" s="361"/>
      <c r="X72" s="3"/>
      <c r="Y72" s="361"/>
      <c r="Z72" s="361"/>
      <c r="AA72" s="361"/>
      <c r="AB72" s="361"/>
      <c r="AC72" s="361"/>
      <c r="AD72" s="365" t="s">
        <v>228</v>
      </c>
      <c r="AE72" s="365"/>
      <c r="AF72" s="365"/>
      <c r="AG72" s="365"/>
      <c r="AH72" s="121"/>
      <c r="AI72" s="121"/>
    </row>
    <row r="73" spans="1:41" x14ac:dyDescent="0.3">
      <c r="M73" s="73"/>
      <c r="N73" s="73"/>
      <c r="O73" s="182"/>
      <c r="P73" s="182"/>
      <c r="Q73" s="123"/>
      <c r="R73" s="123"/>
      <c r="AD73" s="365"/>
      <c r="AE73" s="365"/>
      <c r="AF73" s="365"/>
      <c r="AG73" s="365"/>
    </row>
    <row r="74" spans="1:41" x14ac:dyDescent="0.3">
      <c r="M74" s="73"/>
      <c r="N74" s="73"/>
      <c r="O74" s="73"/>
      <c r="P74" s="73"/>
      <c r="Q74" s="123"/>
      <c r="R74" s="123"/>
    </row>
    <row r="75" spans="1:41" x14ac:dyDescent="0.3">
      <c r="M75" s="73"/>
      <c r="N75" s="73"/>
      <c r="O75" s="73"/>
      <c r="P75" s="73"/>
      <c r="Q75" s="123"/>
      <c r="R75" s="123"/>
    </row>
    <row r="76" spans="1:41" x14ac:dyDescent="0.3">
      <c r="M76" s="73"/>
      <c r="N76" s="73"/>
      <c r="O76" s="73"/>
      <c r="P76" s="73"/>
      <c r="Q76" s="123"/>
      <c r="R76" s="123"/>
    </row>
    <row r="77" spans="1:41" x14ac:dyDescent="0.3">
      <c r="M77" s="73"/>
      <c r="N77" s="73"/>
      <c r="O77" s="73"/>
      <c r="P77" s="73"/>
      <c r="Q77" s="123"/>
      <c r="R77" s="123"/>
    </row>
    <row r="78" spans="1:41" x14ac:dyDescent="0.3">
      <c r="Q78" s="123"/>
      <c r="R78" s="123"/>
    </row>
    <row r="105" spans="1:41" s="3" customFormat="1" x14ac:dyDescent="0.3">
      <c r="A105" s="338" t="s">
        <v>28</v>
      </c>
      <c r="B105" s="338"/>
      <c r="C105" s="338"/>
      <c r="D105" s="338"/>
      <c r="E105" s="338"/>
      <c r="F105" s="338"/>
      <c r="G105" s="338"/>
      <c r="H105" s="338"/>
      <c r="I105" s="338"/>
      <c r="J105" s="182"/>
      <c r="K105" s="1"/>
      <c r="L105" s="182"/>
      <c r="M105" s="1"/>
      <c r="N105" s="1"/>
      <c r="O105" s="1"/>
      <c r="P105" s="1"/>
      <c r="Q105" s="2"/>
      <c r="R105" s="1"/>
      <c r="S105" s="1"/>
      <c r="T105" s="1"/>
      <c r="U105" s="1"/>
      <c r="V105" s="2"/>
      <c r="W105" s="2"/>
      <c r="X105" s="1"/>
      <c r="Y105" s="1"/>
      <c r="Z105" s="1"/>
      <c r="AA105" s="1"/>
      <c r="AB105" s="1"/>
      <c r="AC105" s="1"/>
      <c r="AD105" s="1"/>
      <c r="AE105" s="1"/>
      <c r="AF105" s="333" t="s">
        <v>29</v>
      </c>
      <c r="AG105" s="333"/>
      <c r="AH105" s="333"/>
      <c r="AI105" s="1"/>
    </row>
    <row r="106" spans="1:41" s="3" customFormat="1" x14ac:dyDescent="0.3">
      <c r="A106" s="345" t="s">
        <v>30</v>
      </c>
      <c r="B106" s="345"/>
      <c r="C106" s="345"/>
      <c r="D106" s="345"/>
      <c r="E106" s="345"/>
      <c r="F106" s="345"/>
      <c r="G106" s="345"/>
      <c r="H106" s="345"/>
      <c r="I106" s="345"/>
      <c r="J106" s="182"/>
      <c r="K106" s="1"/>
      <c r="L106" s="182"/>
      <c r="M106" s="1"/>
      <c r="N106" s="1"/>
      <c r="O106" s="1"/>
      <c r="P106" s="1"/>
      <c r="Q106" s="2"/>
      <c r="R106" s="1"/>
      <c r="S106" s="1"/>
      <c r="T106" s="1"/>
      <c r="U106" s="1"/>
      <c r="V106" s="2"/>
      <c r="W106" s="2"/>
      <c r="X106" s="1"/>
      <c r="Y106" s="1"/>
      <c r="Z106" s="1"/>
      <c r="AA106" s="1"/>
      <c r="AB106" s="1"/>
      <c r="AC106" s="1"/>
      <c r="AD106" s="1"/>
      <c r="AE106" s="1"/>
      <c r="AF106" s="1"/>
      <c r="AG106" s="1"/>
      <c r="AH106" s="1"/>
      <c r="AI106" s="1"/>
    </row>
    <row r="107" spans="1:41" s="3" customFormat="1" x14ac:dyDescent="0.3">
      <c r="A107" s="182"/>
      <c r="B107" s="1"/>
      <c r="C107" s="334"/>
      <c r="D107" s="334"/>
      <c r="E107" s="334"/>
      <c r="F107" s="334"/>
      <c r="G107" s="334"/>
      <c r="H107" s="334"/>
      <c r="I107" s="334"/>
      <c r="J107" s="182"/>
      <c r="K107" s="1"/>
      <c r="L107" s="182"/>
      <c r="M107" s="1"/>
      <c r="N107" s="1"/>
      <c r="O107" s="1"/>
      <c r="P107" s="1"/>
      <c r="Q107" s="2"/>
      <c r="R107" s="1"/>
      <c r="S107" s="1"/>
      <c r="T107" s="1"/>
      <c r="U107" s="1"/>
      <c r="V107" s="2"/>
      <c r="W107" s="2"/>
      <c r="X107" s="1"/>
      <c r="Y107" s="1"/>
      <c r="Z107" s="1"/>
      <c r="AA107" s="1"/>
      <c r="AB107" s="1"/>
      <c r="AC107" s="1"/>
      <c r="AD107" s="1"/>
      <c r="AE107" s="1"/>
      <c r="AF107" s="1"/>
      <c r="AG107" s="1"/>
      <c r="AH107" s="1"/>
      <c r="AI107" s="1"/>
    </row>
    <row r="108" spans="1:41" s="3" customFormat="1" ht="37.15" customHeight="1" x14ac:dyDescent="0.3">
      <c r="A108" s="346" t="s">
        <v>238</v>
      </c>
      <c r="B108" s="346"/>
      <c r="C108" s="346"/>
      <c r="D108" s="346"/>
      <c r="E108" s="346"/>
      <c r="F108" s="346"/>
      <c r="G108" s="346"/>
      <c r="H108" s="346"/>
      <c r="I108" s="346"/>
      <c r="J108" s="346"/>
      <c r="K108" s="346"/>
      <c r="L108" s="346"/>
      <c r="M108" s="346"/>
      <c r="N108" s="346"/>
      <c r="O108" s="346"/>
      <c r="P108" s="346"/>
      <c r="Q108" s="346"/>
      <c r="R108" s="346"/>
      <c r="S108" s="346"/>
      <c r="T108" s="346"/>
      <c r="U108" s="346"/>
      <c r="V108" s="346"/>
      <c r="W108" s="346"/>
      <c r="X108" s="346"/>
      <c r="Y108" s="346"/>
      <c r="Z108" s="346"/>
      <c r="AA108" s="346"/>
      <c r="AB108" s="346"/>
      <c r="AC108" s="346"/>
      <c r="AD108" s="346"/>
      <c r="AE108" s="346"/>
      <c r="AF108" s="346"/>
      <c r="AG108" s="346"/>
      <c r="AH108" s="346"/>
      <c r="AI108" s="346"/>
    </row>
    <row r="109" spans="1:41" s="3" customFormat="1" ht="24.75" customHeight="1" x14ac:dyDescent="0.2">
      <c r="A109" s="347" t="s">
        <v>0</v>
      </c>
      <c r="B109" s="349" t="s">
        <v>31</v>
      </c>
      <c r="C109" s="349" t="s">
        <v>32</v>
      </c>
      <c r="D109" s="354" t="s">
        <v>151</v>
      </c>
      <c r="E109" s="354" t="s">
        <v>150</v>
      </c>
      <c r="F109" s="350" t="s">
        <v>33</v>
      </c>
      <c r="G109" s="352" t="s">
        <v>34</v>
      </c>
      <c r="H109" s="335" t="s">
        <v>35</v>
      </c>
      <c r="I109" s="335"/>
      <c r="J109" s="335" t="s">
        <v>35</v>
      </c>
      <c r="K109" s="335"/>
      <c r="L109" s="336" t="s">
        <v>36</v>
      </c>
      <c r="M109" s="336" t="s">
        <v>37</v>
      </c>
      <c r="N109" s="366" t="s">
        <v>38</v>
      </c>
      <c r="O109" s="367"/>
      <c r="P109" s="368"/>
      <c r="Q109" s="349" t="s">
        <v>39</v>
      </c>
      <c r="R109" s="335" t="s">
        <v>72</v>
      </c>
      <c r="S109" s="335" t="s">
        <v>73</v>
      </c>
      <c r="T109" s="335"/>
      <c r="U109" s="335" t="s">
        <v>74</v>
      </c>
      <c r="V109" s="335"/>
      <c r="W109" s="336" t="s">
        <v>174</v>
      </c>
      <c r="X109" s="370" t="s">
        <v>40</v>
      </c>
      <c r="Y109" s="370"/>
      <c r="Z109" s="278" t="s">
        <v>67</v>
      </c>
      <c r="AA109" s="370" t="s">
        <v>41</v>
      </c>
      <c r="AB109" s="370"/>
      <c r="AC109" s="370" t="s">
        <v>42</v>
      </c>
      <c r="AD109" s="370"/>
      <c r="AE109" s="7" t="s">
        <v>43</v>
      </c>
      <c r="AF109" s="349" t="s">
        <v>44</v>
      </c>
      <c r="AG109" s="336" t="s">
        <v>45</v>
      </c>
      <c r="AH109" s="349" t="s">
        <v>46</v>
      </c>
      <c r="AI109" s="349" t="s">
        <v>47</v>
      </c>
      <c r="AJ109" s="283"/>
      <c r="AK109" s="8"/>
      <c r="AL109" s="8"/>
      <c r="AM109" s="8"/>
      <c r="AN109" s="8"/>
    </row>
    <row r="110" spans="1:41" s="3" customFormat="1" ht="60" x14ac:dyDescent="0.25">
      <c r="A110" s="348"/>
      <c r="B110" s="348"/>
      <c r="C110" s="348"/>
      <c r="D110" s="355"/>
      <c r="E110" s="355"/>
      <c r="F110" s="351"/>
      <c r="G110" s="353"/>
      <c r="H110" s="282" t="s">
        <v>48</v>
      </c>
      <c r="I110" s="281" t="s">
        <v>49</v>
      </c>
      <c r="J110" s="282" t="s">
        <v>48</v>
      </c>
      <c r="K110" s="281" t="s">
        <v>50</v>
      </c>
      <c r="L110" s="339"/>
      <c r="M110" s="339"/>
      <c r="N110" s="281" t="s">
        <v>48</v>
      </c>
      <c r="O110" s="9" t="s">
        <v>51</v>
      </c>
      <c r="P110" s="10" t="s">
        <v>52</v>
      </c>
      <c r="Q110" s="348"/>
      <c r="R110" s="335"/>
      <c r="S110" s="276" t="s">
        <v>35</v>
      </c>
      <c r="T110" s="276" t="s">
        <v>75</v>
      </c>
      <c r="U110" s="276" t="s">
        <v>35</v>
      </c>
      <c r="V110" s="276" t="s">
        <v>75</v>
      </c>
      <c r="W110" s="340"/>
      <c r="X110" s="280" t="s">
        <v>68</v>
      </c>
      <c r="Y110" s="280" t="s">
        <v>53</v>
      </c>
      <c r="Z110" s="280" t="s">
        <v>69</v>
      </c>
      <c r="AA110" s="280" t="s">
        <v>54</v>
      </c>
      <c r="AB110" s="280" t="s">
        <v>55</v>
      </c>
      <c r="AC110" s="280" t="s">
        <v>56</v>
      </c>
      <c r="AD110" s="280" t="s">
        <v>57</v>
      </c>
      <c r="AE110" s="280" t="s">
        <v>58</v>
      </c>
      <c r="AF110" s="348"/>
      <c r="AG110" s="340"/>
      <c r="AH110" s="348"/>
      <c r="AI110" s="348"/>
      <c r="AJ110" s="11"/>
      <c r="AK110" s="11"/>
      <c r="AL110" s="11"/>
      <c r="AM110" s="11"/>
      <c r="AN110" s="11"/>
    </row>
    <row r="111" spans="1:41" s="3" customFormat="1" ht="15" x14ac:dyDescent="0.25">
      <c r="A111" s="12" t="s">
        <v>1</v>
      </c>
      <c r="B111" s="12" t="s">
        <v>2</v>
      </c>
      <c r="C111" s="12" t="s">
        <v>59</v>
      </c>
      <c r="D111" s="13">
        <v>1</v>
      </c>
      <c r="E111" s="13">
        <v>2</v>
      </c>
      <c r="F111" s="13">
        <v>3</v>
      </c>
      <c r="G111" s="13">
        <v>4</v>
      </c>
      <c r="H111" s="356">
        <v>5</v>
      </c>
      <c r="I111" s="357"/>
      <c r="J111" s="356">
        <v>6</v>
      </c>
      <c r="K111" s="357"/>
      <c r="L111" s="12">
        <v>7</v>
      </c>
      <c r="M111" s="12">
        <v>8</v>
      </c>
      <c r="N111" s="356">
        <v>9</v>
      </c>
      <c r="O111" s="357"/>
      <c r="P111" s="14">
        <v>10</v>
      </c>
      <c r="Q111" s="12">
        <v>11</v>
      </c>
      <c r="R111" s="14">
        <v>12</v>
      </c>
      <c r="S111" s="358">
        <v>13</v>
      </c>
      <c r="T111" s="359"/>
      <c r="U111" s="356">
        <v>14</v>
      </c>
      <c r="V111" s="357"/>
      <c r="W111" s="284">
        <v>15</v>
      </c>
      <c r="X111" s="284">
        <v>16</v>
      </c>
      <c r="Y111" s="284">
        <v>17</v>
      </c>
      <c r="Z111" s="284">
        <v>18</v>
      </c>
      <c r="AA111" s="284">
        <v>19</v>
      </c>
      <c r="AB111" s="284">
        <v>20</v>
      </c>
      <c r="AC111" s="284">
        <v>21</v>
      </c>
      <c r="AD111" s="284">
        <v>22</v>
      </c>
      <c r="AE111" s="284">
        <v>23</v>
      </c>
      <c r="AF111" s="284">
        <v>24</v>
      </c>
      <c r="AG111" s="284">
        <v>25</v>
      </c>
      <c r="AH111" s="284">
        <v>26</v>
      </c>
      <c r="AI111" s="12" t="s">
        <v>60</v>
      </c>
      <c r="AJ111" s="16"/>
      <c r="AK111" s="17"/>
      <c r="AL111" s="17"/>
      <c r="AM111" s="11"/>
      <c r="AN111" s="11"/>
    </row>
    <row r="112" spans="1:41" ht="31.5" customHeight="1" x14ac:dyDescent="0.3">
      <c r="A112" s="286" t="s">
        <v>61</v>
      </c>
      <c r="B112" s="18" t="s">
        <v>62</v>
      </c>
      <c r="C112" s="19"/>
      <c r="D112" s="20"/>
      <c r="E112" s="21"/>
      <c r="F112" s="22">
        <f>SUM(F113:F113)</f>
        <v>4</v>
      </c>
      <c r="G112" s="22">
        <f>SUM(G113:G113)</f>
        <v>0</v>
      </c>
      <c r="H112" s="22">
        <v>0</v>
      </c>
      <c r="I112" s="23">
        <f>SUM(I113:I113)</f>
        <v>0</v>
      </c>
      <c r="J112" s="286"/>
      <c r="K112" s="23">
        <f>SUM(K113:K113)</f>
        <v>0.4</v>
      </c>
      <c r="L112" s="23">
        <f>SUM(L113:L113)</f>
        <v>4.4000000000000004</v>
      </c>
      <c r="M112" s="24">
        <f>SUM(M113:M113)</f>
        <v>10296000</v>
      </c>
      <c r="N112" s="23"/>
      <c r="O112" s="23">
        <f>SUM(O113:O113)</f>
        <v>2</v>
      </c>
      <c r="P112" s="24">
        <f>SUM(P113:P113)</f>
        <v>4680000</v>
      </c>
      <c r="Q112" s="24">
        <f>SUM(Q113:Q113)</f>
        <v>0</v>
      </c>
      <c r="R112" s="24">
        <f>SUM(R113:R113)</f>
        <v>1170000</v>
      </c>
      <c r="S112" s="22">
        <v>0.5</v>
      </c>
      <c r="T112" s="24">
        <f t="shared" ref="T112:AH112" si="104">SUM(T113:T113)</f>
        <v>0</v>
      </c>
      <c r="U112" s="22">
        <f t="shared" si="104"/>
        <v>0</v>
      </c>
      <c r="V112" s="24">
        <f t="shared" si="104"/>
        <v>0</v>
      </c>
      <c r="W112" s="24">
        <f t="shared" si="104"/>
        <v>0</v>
      </c>
      <c r="X112" s="24">
        <f t="shared" si="104"/>
        <v>1750320</v>
      </c>
      <c r="Y112" s="24">
        <f t="shared" si="104"/>
        <v>823680</v>
      </c>
      <c r="Z112" s="24">
        <f t="shared" si="104"/>
        <v>51480</v>
      </c>
      <c r="AA112" s="24">
        <f t="shared" si="104"/>
        <v>308880</v>
      </c>
      <c r="AB112" s="24">
        <f t="shared" si="104"/>
        <v>154440</v>
      </c>
      <c r="AC112" s="24">
        <f t="shared" si="104"/>
        <v>102960</v>
      </c>
      <c r="AD112" s="24">
        <f t="shared" si="104"/>
        <v>102960</v>
      </c>
      <c r="AE112" s="24">
        <f t="shared" si="104"/>
        <v>205920</v>
      </c>
      <c r="AF112" s="24">
        <f t="shared" si="104"/>
        <v>0</v>
      </c>
      <c r="AG112" s="24">
        <f t="shared" si="104"/>
        <v>0</v>
      </c>
      <c r="AH112" s="24">
        <f t="shared" si="104"/>
        <v>15064920</v>
      </c>
      <c r="AI112" s="24"/>
      <c r="AJ112" s="26"/>
      <c r="AK112" s="27"/>
      <c r="AL112" s="28"/>
      <c r="AM112" s="29"/>
      <c r="AN112" s="30"/>
      <c r="AO112" s="31"/>
    </row>
    <row r="113" spans="1:41" ht="20.25" customHeight="1" x14ac:dyDescent="0.3">
      <c r="A113" s="32" t="s">
        <v>235</v>
      </c>
      <c r="B113" s="76" t="s">
        <v>232</v>
      </c>
      <c r="C113" s="34" t="s">
        <v>233</v>
      </c>
      <c r="D113" s="47" t="s">
        <v>234</v>
      </c>
      <c r="E113" s="134" t="s">
        <v>212</v>
      </c>
      <c r="F113" s="37">
        <v>4</v>
      </c>
      <c r="G113" s="37"/>
      <c r="H113" s="38"/>
      <c r="I113" s="34"/>
      <c r="J113" s="52">
        <v>10</v>
      </c>
      <c r="K113" s="39">
        <f>ROUND((F113+G113+I113)*J113/100,4)</f>
        <v>0.4</v>
      </c>
      <c r="L113" s="39">
        <f t="shared" ref="L113" si="105">F113+G113+I113+K113</f>
        <v>4.4000000000000004</v>
      </c>
      <c r="M113" s="40">
        <f t="shared" ref="M113" si="106">ROUND(L113*2340000,0)</f>
        <v>10296000</v>
      </c>
      <c r="N113" s="77">
        <v>0.5</v>
      </c>
      <c r="O113" s="185">
        <f t="shared" ref="O113" si="107">(F113+G113+I113)*N113</f>
        <v>2</v>
      </c>
      <c r="P113" s="40">
        <f t="shared" ref="P113" si="108">ROUND(O113*2340000,0)</f>
        <v>4680000</v>
      </c>
      <c r="Q113" s="42"/>
      <c r="R113" s="40">
        <f t="shared" ref="R113" si="109">ROUND(0.5*2340000,0)</f>
        <v>1170000</v>
      </c>
      <c r="S113" s="43"/>
      <c r="T113" s="40">
        <f t="shared" ref="T113" si="110">S113*2340000</f>
        <v>0</v>
      </c>
      <c r="U113" s="43"/>
      <c r="V113" s="44">
        <f t="shared" ref="V113" si="111">U113*2340000</f>
        <v>0</v>
      </c>
      <c r="W113" s="44"/>
      <c r="X113" s="40">
        <f t="shared" ref="X113" si="112">ROUND((L113*2340000*17/100),0)</f>
        <v>1750320</v>
      </c>
      <c r="Y113" s="40">
        <f t="shared" ref="Y113" si="113">ROUND((L113*2340000*8/100),0)</f>
        <v>823680</v>
      </c>
      <c r="Z113" s="40">
        <f t="shared" ref="Z113" si="114">ROUND((L113*2340000*0.5/100),0)</f>
        <v>51480</v>
      </c>
      <c r="AA113" s="40">
        <f t="shared" ref="AA113" si="115">ROUND((L113*2340000*3/100),0)</f>
        <v>308880</v>
      </c>
      <c r="AB113" s="40">
        <f t="shared" ref="AB113" si="116">ROUND((L113*2340000*1.5/100),0)</f>
        <v>154440</v>
      </c>
      <c r="AC113" s="40">
        <f t="shared" ref="AC113" si="117">ROUND((L113*2340000*1/100),0)</f>
        <v>102960</v>
      </c>
      <c r="AD113" s="40">
        <f t="shared" ref="AD113" si="118">ROUND((L113*2340000*1/100),0)</f>
        <v>102960</v>
      </c>
      <c r="AE113" s="40">
        <f t="shared" ref="AE113" si="119">ROUND((L113*2340000*2/100),0)</f>
        <v>205920</v>
      </c>
      <c r="AF113" s="33"/>
      <c r="AG113" s="40"/>
      <c r="AH113" s="40">
        <f>M113-Y113-AB113-AD113+P113+R113+T113+V113+W113</f>
        <v>15064920</v>
      </c>
      <c r="AI113" s="33"/>
      <c r="AJ113" s="78"/>
      <c r="AK113" s="79"/>
      <c r="AL113" s="17"/>
      <c r="AM113" s="80"/>
      <c r="AN113" s="72"/>
    </row>
    <row r="114" spans="1:41" s="60" customFormat="1" ht="24" customHeight="1" x14ac:dyDescent="0.2">
      <c r="A114" s="362" t="s">
        <v>63</v>
      </c>
      <c r="B114" s="363"/>
      <c r="C114" s="109"/>
      <c r="D114" s="109"/>
      <c r="E114" s="109"/>
      <c r="F114" s="110">
        <f>F112</f>
        <v>4</v>
      </c>
      <c r="G114" s="110">
        <f t="shared" ref="G114:I114" si="120">G112</f>
        <v>0</v>
      </c>
      <c r="H114" s="110">
        <f t="shared" si="120"/>
        <v>0</v>
      </c>
      <c r="I114" s="110">
        <f t="shared" si="120"/>
        <v>0</v>
      </c>
      <c r="J114" s="110"/>
      <c r="K114" s="111">
        <f>K112</f>
        <v>0.4</v>
      </c>
      <c r="L114" s="111">
        <f>L112</f>
        <v>4.4000000000000004</v>
      </c>
      <c r="M114" s="112">
        <f>M112</f>
        <v>10296000</v>
      </c>
      <c r="N114" s="112"/>
      <c r="O114" s="113">
        <f>O112</f>
        <v>2</v>
      </c>
      <c r="P114" s="112">
        <f>P112</f>
        <v>4680000</v>
      </c>
      <c r="Q114" s="112">
        <f t="shared" ref="Q114:R114" si="121">Q112</f>
        <v>0</v>
      </c>
      <c r="R114" s="112">
        <f t="shared" si="121"/>
        <v>1170000</v>
      </c>
      <c r="S114" s="186">
        <f>S112</f>
        <v>0.5</v>
      </c>
      <c r="T114" s="112">
        <f>T112</f>
        <v>0</v>
      </c>
      <c r="U114" s="112">
        <f t="shared" ref="U114:V114" si="122">U112</f>
        <v>0</v>
      </c>
      <c r="V114" s="112">
        <f t="shared" si="122"/>
        <v>0</v>
      </c>
      <c r="W114" s="112">
        <f>W112</f>
        <v>0</v>
      </c>
      <c r="X114" s="112">
        <f>X112</f>
        <v>1750320</v>
      </c>
      <c r="Y114" s="112">
        <f t="shared" ref="Y114:AH114" si="123">Y112</f>
        <v>823680</v>
      </c>
      <c r="Z114" s="112">
        <f t="shared" si="123"/>
        <v>51480</v>
      </c>
      <c r="AA114" s="112">
        <f t="shared" si="123"/>
        <v>308880</v>
      </c>
      <c r="AB114" s="112">
        <f t="shared" si="123"/>
        <v>154440</v>
      </c>
      <c r="AC114" s="112">
        <f t="shared" si="123"/>
        <v>102960</v>
      </c>
      <c r="AD114" s="112">
        <f t="shared" si="123"/>
        <v>102960</v>
      </c>
      <c r="AE114" s="112">
        <f t="shared" si="123"/>
        <v>205920</v>
      </c>
      <c r="AF114" s="112">
        <f t="shared" si="123"/>
        <v>0</v>
      </c>
      <c r="AG114" s="112">
        <f t="shared" si="123"/>
        <v>0</v>
      </c>
      <c r="AH114" s="112">
        <f t="shared" si="123"/>
        <v>15064920</v>
      </c>
      <c r="AI114" s="112"/>
      <c r="AJ114" s="105"/>
      <c r="AK114" s="106"/>
      <c r="AL114" s="107"/>
    </row>
    <row r="115" spans="1:41" ht="21.75" customHeight="1" x14ac:dyDescent="0.3">
      <c r="A115" s="364" t="s">
        <v>237</v>
      </c>
      <c r="B115" s="364"/>
      <c r="C115" s="364"/>
      <c r="D115" s="364"/>
      <c r="E115" s="364"/>
      <c r="F115" s="364"/>
      <c r="G115" s="364"/>
      <c r="H115" s="364"/>
      <c r="I115" s="364"/>
      <c r="J115" s="364"/>
      <c r="K115" s="364"/>
      <c r="L115" s="364"/>
      <c r="M115" s="364"/>
      <c r="N115" s="364"/>
      <c r="O115" s="364"/>
      <c r="P115" s="364"/>
      <c r="Q115" s="364"/>
      <c r="R115" s="364"/>
      <c r="S115" s="364"/>
      <c r="T115" s="364"/>
      <c r="U115" s="364"/>
      <c r="V115" s="364"/>
      <c r="W115" s="364"/>
      <c r="X115" s="364"/>
      <c r="Y115" s="364"/>
      <c r="Z115" s="364"/>
      <c r="AA115" s="364"/>
      <c r="AB115" s="3"/>
      <c r="AC115" s="3"/>
      <c r="AD115" s="3"/>
      <c r="AE115" s="3"/>
      <c r="AF115" s="3"/>
      <c r="AG115" s="3"/>
      <c r="AH115" s="3"/>
      <c r="AI115" s="3"/>
    </row>
    <row r="116" spans="1:41" x14ac:dyDescent="0.3">
      <c r="A116" s="114"/>
      <c r="B116" s="3"/>
      <c r="C116" s="115"/>
      <c r="F116" s="116"/>
      <c r="G116" s="116"/>
      <c r="H116" s="3"/>
      <c r="I116" s="3"/>
      <c r="J116" s="115"/>
      <c r="K116" s="3"/>
      <c r="L116" s="115"/>
      <c r="Q116" s="117"/>
      <c r="R116" s="118"/>
      <c r="S116" s="3"/>
      <c r="T116" s="3"/>
      <c r="U116" s="3"/>
      <c r="V116" s="115"/>
      <c r="W116" s="115"/>
      <c r="X116" s="3"/>
      <c r="Y116" s="3"/>
      <c r="Z116" s="3"/>
      <c r="AA116" s="3"/>
      <c r="AB116" s="3"/>
      <c r="AC116" s="365" t="s">
        <v>236</v>
      </c>
      <c r="AD116" s="365"/>
      <c r="AE116" s="365"/>
      <c r="AF116" s="365"/>
      <c r="AG116" s="365"/>
      <c r="AH116" s="365"/>
      <c r="AI116" s="365"/>
      <c r="AO116" s="60"/>
    </row>
    <row r="117" spans="1:41" x14ac:dyDescent="0.3">
      <c r="A117" s="119"/>
      <c r="B117" s="333" t="s">
        <v>64</v>
      </c>
      <c r="C117" s="333"/>
      <c r="D117" s="333"/>
      <c r="E117" s="333"/>
      <c r="F117" s="333"/>
      <c r="G117" s="333"/>
      <c r="H117" s="333"/>
      <c r="I117" s="85"/>
      <c r="J117" s="277"/>
      <c r="K117" s="85"/>
      <c r="L117" s="120"/>
      <c r="M117" s="120"/>
      <c r="N117" s="120"/>
      <c r="O117" s="120"/>
      <c r="P117" s="120"/>
      <c r="Q117" s="120"/>
      <c r="R117" s="120"/>
      <c r="S117" s="85"/>
      <c r="T117" s="333" t="s">
        <v>23</v>
      </c>
      <c r="U117" s="333"/>
      <c r="V117" s="333"/>
      <c r="W117" s="333"/>
      <c r="X117" s="85"/>
      <c r="Y117" s="333"/>
      <c r="Z117" s="333"/>
      <c r="AA117" s="333"/>
      <c r="AB117" s="333"/>
      <c r="AC117" s="85"/>
      <c r="AD117" s="365" t="s">
        <v>106</v>
      </c>
      <c r="AE117" s="365"/>
      <c r="AF117" s="365"/>
      <c r="AG117" s="365"/>
      <c r="AH117" s="121"/>
      <c r="AI117" s="121"/>
      <c r="AJ117" s="60"/>
      <c r="AK117" s="60"/>
      <c r="AL117" s="60"/>
      <c r="AM117" s="60"/>
      <c r="AN117" s="60"/>
    </row>
    <row r="118" spans="1:41" x14ac:dyDescent="0.3">
      <c r="A118" s="114"/>
      <c r="B118" s="360" t="s">
        <v>65</v>
      </c>
      <c r="C118" s="360"/>
      <c r="D118" s="360"/>
      <c r="E118" s="360"/>
      <c r="F118" s="360"/>
      <c r="G118" s="360"/>
      <c r="H118" s="360"/>
      <c r="K118" s="122"/>
      <c r="L118" s="73"/>
      <c r="M118" s="73"/>
      <c r="N118" s="73"/>
      <c r="O118" s="73"/>
      <c r="P118" s="73"/>
      <c r="Q118" s="123"/>
      <c r="R118" s="123"/>
      <c r="T118" s="360" t="s">
        <v>65</v>
      </c>
      <c r="U118" s="360"/>
      <c r="V118" s="360"/>
      <c r="W118" s="360"/>
      <c r="Y118" s="360"/>
      <c r="Z118" s="360"/>
      <c r="AA118" s="360"/>
      <c r="AB118" s="360"/>
      <c r="AD118" s="369" t="s">
        <v>176</v>
      </c>
      <c r="AE118" s="369"/>
      <c r="AF118" s="369"/>
      <c r="AG118" s="369"/>
      <c r="AH118" s="3"/>
      <c r="AI118" s="3"/>
    </row>
    <row r="119" spans="1:41" x14ac:dyDescent="0.3">
      <c r="A119" s="114"/>
      <c r="C119" s="182"/>
      <c r="F119" s="6"/>
      <c r="G119" s="6"/>
      <c r="K119" s="73"/>
      <c r="L119" s="73"/>
      <c r="M119" s="73"/>
      <c r="N119" s="73"/>
      <c r="O119" s="73"/>
      <c r="P119" s="73"/>
      <c r="Q119" s="123"/>
      <c r="R119" s="123"/>
      <c r="V119" s="182"/>
      <c r="W119" s="182"/>
      <c r="AD119" s="124"/>
      <c r="AE119" s="125"/>
      <c r="AF119" s="285"/>
      <c r="AG119" s="285"/>
      <c r="AH119" s="3"/>
      <c r="AI119" s="3"/>
    </row>
    <row r="120" spans="1:41" x14ac:dyDescent="0.3">
      <c r="A120" s="114"/>
      <c r="B120" s="3"/>
      <c r="C120" s="115"/>
      <c r="F120" s="116"/>
      <c r="G120" s="116"/>
      <c r="H120" s="3"/>
      <c r="I120" s="3"/>
      <c r="J120" s="115"/>
      <c r="K120" s="73"/>
      <c r="L120" s="73"/>
      <c r="M120" s="73"/>
      <c r="N120" s="73"/>
      <c r="O120" s="73"/>
      <c r="P120" s="73"/>
      <c r="Q120" s="123"/>
      <c r="R120" s="123"/>
      <c r="S120" s="3"/>
      <c r="T120" s="3"/>
      <c r="U120" s="3"/>
      <c r="V120" s="115"/>
      <c r="W120" s="115"/>
      <c r="X120" s="3"/>
      <c r="Y120" s="3"/>
      <c r="Z120" s="3"/>
      <c r="AA120" s="3"/>
      <c r="AB120" s="3"/>
      <c r="AC120" s="3"/>
      <c r="AD120" s="124"/>
      <c r="AE120" s="125"/>
      <c r="AF120" s="125"/>
      <c r="AG120" s="125"/>
      <c r="AH120" s="3"/>
      <c r="AI120" s="3"/>
    </row>
    <row r="121" spans="1:41" x14ac:dyDescent="0.3">
      <c r="A121" s="114"/>
      <c r="B121" s="3"/>
      <c r="C121" s="115"/>
      <c r="F121" s="116"/>
      <c r="G121" s="116"/>
      <c r="H121" s="3"/>
      <c r="I121" s="3"/>
      <c r="J121" s="115"/>
      <c r="K121" s="73"/>
      <c r="L121" s="73"/>
      <c r="M121" s="73"/>
      <c r="N121" s="73"/>
      <c r="O121" s="73"/>
      <c r="P121" s="73"/>
      <c r="Q121" s="123"/>
      <c r="R121" s="123"/>
      <c r="S121" s="3"/>
      <c r="T121" s="3"/>
      <c r="U121" s="3"/>
      <c r="V121" s="115"/>
      <c r="W121" s="115"/>
      <c r="X121" s="3"/>
      <c r="Y121" s="3"/>
      <c r="Z121" s="3"/>
      <c r="AA121" s="3"/>
      <c r="AB121" s="3"/>
      <c r="AC121" s="3"/>
      <c r="AD121" s="124"/>
      <c r="AE121" s="125"/>
      <c r="AF121" s="125"/>
      <c r="AG121" s="125"/>
      <c r="AH121" s="3"/>
      <c r="AI121" s="3"/>
    </row>
    <row r="122" spans="1:41" ht="18.75" customHeight="1" x14ac:dyDescent="0.3">
      <c r="A122" s="119"/>
      <c r="B122" s="337" t="s">
        <v>147</v>
      </c>
      <c r="C122" s="337"/>
      <c r="D122" s="337"/>
      <c r="E122" s="337"/>
      <c r="F122" s="337"/>
      <c r="G122" s="337"/>
      <c r="H122" s="337"/>
      <c r="I122" s="337"/>
      <c r="J122" s="115"/>
      <c r="K122" s="73"/>
      <c r="L122" s="73"/>
      <c r="M122" s="73"/>
      <c r="N122" s="73"/>
      <c r="O122" s="73"/>
      <c r="P122" s="73"/>
      <c r="Q122" s="123"/>
      <c r="R122" s="123"/>
      <c r="S122" s="361" t="s">
        <v>147</v>
      </c>
      <c r="T122" s="361"/>
      <c r="U122" s="361"/>
      <c r="V122" s="361"/>
      <c r="W122" s="361"/>
      <c r="X122" s="3"/>
      <c r="Y122" s="361"/>
      <c r="Z122" s="361"/>
      <c r="AA122" s="361"/>
      <c r="AB122" s="361"/>
      <c r="AC122" s="361"/>
      <c r="AD122" s="365" t="s">
        <v>228</v>
      </c>
      <c r="AE122" s="365"/>
      <c r="AF122" s="365"/>
      <c r="AG122" s="365"/>
      <c r="AH122" s="121"/>
      <c r="AI122" s="121"/>
    </row>
    <row r="123" spans="1:41" x14ac:dyDescent="0.3">
      <c r="M123" s="73"/>
      <c r="N123" s="73"/>
      <c r="O123" s="182"/>
      <c r="P123" s="182"/>
      <c r="Q123" s="123"/>
      <c r="R123" s="123"/>
      <c r="AD123" s="365"/>
      <c r="AE123" s="365"/>
      <c r="AF123" s="365"/>
      <c r="AG123" s="365"/>
    </row>
    <row r="124" spans="1:41" x14ac:dyDescent="0.3">
      <c r="M124" s="73"/>
      <c r="N124" s="73"/>
      <c r="O124" s="73"/>
      <c r="P124" s="73"/>
      <c r="Q124" s="123"/>
      <c r="R124" s="123"/>
    </row>
    <row r="125" spans="1:41" x14ac:dyDescent="0.3">
      <c r="M125" s="73"/>
      <c r="N125" s="73"/>
      <c r="O125" s="73"/>
      <c r="P125" s="73"/>
      <c r="Q125" s="123"/>
      <c r="R125" s="123"/>
    </row>
    <row r="126" spans="1:41" x14ac:dyDescent="0.3">
      <c r="M126" s="73"/>
      <c r="N126" s="73"/>
      <c r="O126" s="73"/>
      <c r="P126" s="73"/>
      <c r="Q126" s="123"/>
      <c r="R126" s="123"/>
    </row>
    <row r="127" spans="1:41" x14ac:dyDescent="0.3">
      <c r="M127" s="73"/>
      <c r="N127" s="73"/>
      <c r="O127" s="73"/>
      <c r="P127" s="73"/>
      <c r="Q127" s="123"/>
      <c r="R127" s="123"/>
    </row>
    <row r="128" spans="1:41" x14ac:dyDescent="0.3">
      <c r="Q128" s="123"/>
      <c r="R128" s="123"/>
    </row>
  </sheetData>
  <mergeCells count="102">
    <mergeCell ref="AD123:AG123"/>
    <mergeCell ref="B118:H118"/>
    <mergeCell ref="T118:W118"/>
    <mergeCell ref="Y118:AB118"/>
    <mergeCell ref="AD118:AG118"/>
    <mergeCell ref="B122:I122"/>
    <mergeCell ref="S122:W122"/>
    <mergeCell ref="Y122:AC122"/>
    <mergeCell ref="AD122:AG122"/>
    <mergeCell ref="A115:AA115"/>
    <mergeCell ref="AC116:AI116"/>
    <mergeCell ref="B117:H117"/>
    <mergeCell ref="T117:W117"/>
    <mergeCell ref="Y117:AB117"/>
    <mergeCell ref="AD117:AG117"/>
    <mergeCell ref="A114:B114"/>
    <mergeCell ref="H111:I111"/>
    <mergeCell ref="J111:K111"/>
    <mergeCell ref="N111:O111"/>
    <mergeCell ref="S111:T111"/>
    <mergeCell ref="U111:V111"/>
    <mergeCell ref="AF109:AF110"/>
    <mergeCell ref="AG109:AG110"/>
    <mergeCell ref="AH109:AH110"/>
    <mergeCell ref="AI109:AI110"/>
    <mergeCell ref="U109:V109"/>
    <mergeCell ref="W109:W110"/>
    <mergeCell ref="X109:Y109"/>
    <mergeCell ref="AA109:AB109"/>
    <mergeCell ref="A109:A110"/>
    <mergeCell ref="B109:B110"/>
    <mergeCell ref="C109:C110"/>
    <mergeCell ref="D109:D110"/>
    <mergeCell ref="E109:E110"/>
    <mergeCell ref="A105:I105"/>
    <mergeCell ref="AF105:AH105"/>
    <mergeCell ref="A106:I106"/>
    <mergeCell ref="C107:I107"/>
    <mergeCell ref="A108:AI108"/>
    <mergeCell ref="AC109:AD109"/>
    <mergeCell ref="M109:M110"/>
    <mergeCell ref="N109:P109"/>
    <mergeCell ref="Q109:Q110"/>
    <mergeCell ref="R109:R110"/>
    <mergeCell ref="S109:T109"/>
    <mergeCell ref="F109:F110"/>
    <mergeCell ref="G109:G110"/>
    <mergeCell ref="H109:I109"/>
    <mergeCell ref="J109:K109"/>
    <mergeCell ref="L109:L110"/>
    <mergeCell ref="AD73:AG73"/>
    <mergeCell ref="AC66:AI66"/>
    <mergeCell ref="AD72:AG72"/>
    <mergeCell ref="N5:P5"/>
    <mergeCell ref="U5:V5"/>
    <mergeCell ref="AD67:AG67"/>
    <mergeCell ref="AD68:AG68"/>
    <mergeCell ref="AC5:AD5"/>
    <mergeCell ref="Y68:AB68"/>
    <mergeCell ref="AA5:AB5"/>
    <mergeCell ref="X5:Y5"/>
    <mergeCell ref="AF5:AF6"/>
    <mergeCell ref="W5:W6"/>
    <mergeCell ref="B67:H67"/>
    <mergeCell ref="B72:I72"/>
    <mergeCell ref="B68:H68"/>
    <mergeCell ref="Y72:AC72"/>
    <mergeCell ref="Y67:AB67"/>
    <mergeCell ref="T67:W67"/>
    <mergeCell ref="T68:W68"/>
    <mergeCell ref="S72:W72"/>
    <mergeCell ref="A64:B64"/>
    <mergeCell ref="A65:AA65"/>
    <mergeCell ref="D5:D6"/>
    <mergeCell ref="E5:E6"/>
    <mergeCell ref="H7:I7"/>
    <mergeCell ref="J7:K7"/>
    <mergeCell ref="N7:O7"/>
    <mergeCell ref="S7:T7"/>
    <mergeCell ref="U7:V7"/>
    <mergeCell ref="J5:K5"/>
    <mergeCell ref="L5:L6"/>
    <mergeCell ref="M5:M6"/>
    <mergeCell ref="R5:R6"/>
    <mergeCell ref="AK23:AN24"/>
    <mergeCell ref="B59:E59"/>
    <mergeCell ref="A1:I1"/>
    <mergeCell ref="AF1:AH1"/>
    <mergeCell ref="A2:I2"/>
    <mergeCell ref="A4:AI4"/>
    <mergeCell ref="A5:A6"/>
    <mergeCell ref="B5:B6"/>
    <mergeCell ref="C5:C6"/>
    <mergeCell ref="F5:F6"/>
    <mergeCell ref="G5:G6"/>
    <mergeCell ref="H5:I5"/>
    <mergeCell ref="AG5:AG6"/>
    <mergeCell ref="AH5:AH6"/>
    <mergeCell ref="Q5:Q6"/>
    <mergeCell ref="S5:T5"/>
    <mergeCell ref="AI5:AI6"/>
    <mergeCell ref="C3:I3"/>
  </mergeCells>
  <phoneticPr fontId="14" type="noConversion"/>
  <printOptions horizontalCentered="1"/>
  <pageMargins left="0.24" right="0" top="0.25" bottom="0.25" header="0.3" footer="0.3"/>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topLeftCell="C34" workbookViewId="0">
      <selection activeCell="H9" sqref="H9"/>
    </sheetView>
  </sheetViews>
  <sheetFormatPr defaultRowHeight="15" x14ac:dyDescent="0.2"/>
  <cols>
    <col min="1" max="1" width="5" customWidth="1"/>
    <col min="2" max="2" width="13.6640625" customWidth="1"/>
    <col min="3" max="3" width="8.109375" customWidth="1"/>
    <col min="4" max="4" width="6.77734375" customWidth="1"/>
    <col min="5" max="5" width="9.77734375" customWidth="1"/>
    <col min="6" max="6" width="10.44140625" customWidth="1"/>
    <col min="7" max="7" width="13.21875" customWidth="1"/>
    <col min="8" max="8" width="11" customWidth="1"/>
    <col min="9" max="9" width="10.77734375" customWidth="1"/>
    <col min="10" max="10" width="11.21875" customWidth="1"/>
    <col min="11" max="11" width="12.77734375" customWidth="1"/>
    <col min="12" max="12" width="10.21875" customWidth="1"/>
    <col min="13" max="13" width="8.33203125" customWidth="1"/>
    <col min="14" max="14" width="11.33203125" customWidth="1"/>
    <col min="15" max="15" width="10" customWidth="1"/>
    <col min="16" max="16" width="7.33203125" customWidth="1"/>
    <col min="17" max="27" width="9" bestFit="1" customWidth="1"/>
    <col min="28" max="28" width="9.6640625" bestFit="1" customWidth="1"/>
  </cols>
  <sheetData>
    <row r="1" spans="1:16" ht="19.5" x14ac:dyDescent="0.3">
      <c r="A1" s="303"/>
      <c r="B1" s="304" t="s">
        <v>285</v>
      </c>
      <c r="C1" s="305"/>
      <c r="D1" s="305"/>
      <c r="E1" s="303"/>
      <c r="F1" s="303"/>
      <c r="G1" s="303"/>
      <c r="H1" s="303"/>
      <c r="I1" s="303"/>
      <c r="J1" s="303"/>
      <c r="K1" s="303"/>
      <c r="L1" s="303"/>
      <c r="M1" s="303"/>
      <c r="N1" s="303"/>
      <c r="O1" s="303"/>
    </row>
    <row r="2" spans="1:16" ht="19.5" x14ac:dyDescent="0.3">
      <c r="A2" s="305" t="s">
        <v>286</v>
      </c>
      <c r="B2" s="303"/>
      <c r="C2" s="305"/>
      <c r="D2" s="305"/>
      <c r="E2" s="303"/>
      <c r="F2" s="303"/>
      <c r="G2" s="303"/>
      <c r="H2" s="303"/>
      <c r="I2" s="303"/>
      <c r="J2" s="303"/>
      <c r="K2" s="303"/>
      <c r="L2" s="303"/>
      <c r="M2" s="303"/>
      <c r="N2" s="303"/>
      <c r="O2" s="303"/>
    </row>
    <row r="3" spans="1:16" ht="20.25" x14ac:dyDescent="0.3">
      <c r="A3" s="379" t="s">
        <v>287</v>
      </c>
      <c r="B3" s="379"/>
      <c r="C3" s="379"/>
      <c r="D3" s="379"/>
      <c r="E3" s="379"/>
      <c r="F3" s="379"/>
      <c r="G3" s="379"/>
      <c r="H3" s="379"/>
      <c r="I3" s="379"/>
      <c r="J3" s="379"/>
      <c r="K3" s="379"/>
      <c r="L3" s="379"/>
      <c r="M3" s="379"/>
      <c r="N3" s="379"/>
      <c r="O3" s="379"/>
    </row>
    <row r="4" spans="1:16" ht="20.25" x14ac:dyDescent="0.3">
      <c r="A4" s="379" t="s">
        <v>294</v>
      </c>
      <c r="B4" s="379"/>
      <c r="C4" s="379"/>
      <c r="D4" s="379"/>
      <c r="E4" s="379"/>
      <c r="F4" s="379"/>
      <c r="G4" s="379"/>
      <c r="H4" s="379"/>
      <c r="I4" s="379"/>
      <c r="J4" s="379"/>
      <c r="K4" s="379"/>
      <c r="L4" s="379"/>
      <c r="M4" s="379"/>
      <c r="N4" s="379"/>
      <c r="O4" s="379"/>
    </row>
    <row r="6" spans="1:16" ht="31.5" x14ac:dyDescent="0.2">
      <c r="A6" s="380" t="s">
        <v>0</v>
      </c>
      <c r="B6" s="380" t="s">
        <v>31</v>
      </c>
      <c r="C6" s="380" t="s">
        <v>149</v>
      </c>
      <c r="D6" s="381" t="s">
        <v>288</v>
      </c>
      <c r="E6" s="380" t="s">
        <v>289</v>
      </c>
      <c r="F6" s="380" t="s">
        <v>72</v>
      </c>
      <c r="G6" s="383" t="s">
        <v>40</v>
      </c>
      <c r="H6" s="383"/>
      <c r="I6" s="306" t="s">
        <v>67</v>
      </c>
      <c r="J6" s="377" t="s">
        <v>41</v>
      </c>
      <c r="K6" s="377"/>
      <c r="L6" s="377" t="s">
        <v>42</v>
      </c>
      <c r="M6" s="377"/>
      <c r="N6" s="331" t="s">
        <v>43</v>
      </c>
      <c r="O6" s="378" t="s">
        <v>46</v>
      </c>
      <c r="P6" s="371" t="s">
        <v>299</v>
      </c>
    </row>
    <row r="7" spans="1:16" ht="47.25" x14ac:dyDescent="0.2">
      <c r="A7" s="380"/>
      <c r="B7" s="380"/>
      <c r="C7" s="380"/>
      <c r="D7" s="382"/>
      <c r="E7" s="380" t="s">
        <v>290</v>
      </c>
      <c r="F7" s="380"/>
      <c r="G7" s="306" t="s">
        <v>68</v>
      </c>
      <c r="H7" s="307" t="s">
        <v>53</v>
      </c>
      <c r="I7" s="306" t="s">
        <v>291</v>
      </c>
      <c r="J7" s="307" t="s">
        <v>54</v>
      </c>
      <c r="K7" s="307" t="s">
        <v>55</v>
      </c>
      <c r="L7" s="307" t="s">
        <v>56</v>
      </c>
      <c r="M7" s="307" t="s">
        <v>57</v>
      </c>
      <c r="N7" s="307" t="s">
        <v>58</v>
      </c>
      <c r="O7" s="377"/>
      <c r="P7" s="372"/>
    </row>
    <row r="8" spans="1:16" ht="17.25" x14ac:dyDescent="0.3">
      <c r="A8" s="308">
        <v>1</v>
      </c>
      <c r="B8" s="309" t="s">
        <v>295</v>
      </c>
      <c r="C8" s="310" t="s">
        <v>292</v>
      </c>
      <c r="D8" s="311" t="s">
        <v>296</v>
      </c>
      <c r="E8" s="312">
        <f>D8*2340000</f>
        <v>5475600</v>
      </c>
      <c r="F8" s="312">
        <f>0.5*2340000</f>
        <v>1170000</v>
      </c>
      <c r="G8" s="312">
        <f>E8*17%</f>
        <v>930852.00000000012</v>
      </c>
      <c r="H8" s="312">
        <f>E8*8%</f>
        <v>438048</v>
      </c>
      <c r="I8" s="312">
        <f>E8*0.5%</f>
        <v>27378</v>
      </c>
      <c r="J8" s="312">
        <f>E8*3%</f>
        <v>164268</v>
      </c>
      <c r="K8" s="312">
        <f>E8*1.5%</f>
        <v>82134</v>
      </c>
      <c r="L8" s="312">
        <f>E8*1%</f>
        <v>54756</v>
      </c>
      <c r="M8" s="312">
        <f>E8*1%</f>
        <v>54756</v>
      </c>
      <c r="N8" s="312">
        <f>E8*2%</f>
        <v>109512</v>
      </c>
      <c r="O8" s="312">
        <f>(E8+F8)-H8-K8-M8</f>
        <v>6070662</v>
      </c>
      <c r="P8" s="332"/>
    </row>
    <row r="9" spans="1:16" ht="17.25" x14ac:dyDescent="0.3">
      <c r="A9" s="308"/>
      <c r="B9" s="309"/>
      <c r="C9" s="310"/>
      <c r="D9" s="313"/>
      <c r="E9" s="312"/>
      <c r="F9" s="312"/>
      <c r="G9" s="312"/>
      <c r="H9" s="312"/>
      <c r="I9" s="312"/>
      <c r="J9" s="312"/>
      <c r="K9" s="312"/>
      <c r="L9" s="312"/>
      <c r="M9" s="312"/>
      <c r="N9" s="312"/>
      <c r="O9" s="312"/>
      <c r="P9" s="332"/>
    </row>
    <row r="10" spans="1:16" ht="15.75" x14ac:dyDescent="0.25">
      <c r="A10" s="314"/>
      <c r="B10" s="314" t="s">
        <v>293</v>
      </c>
      <c r="C10" s="314"/>
      <c r="D10" s="314">
        <v>2.34</v>
      </c>
      <c r="E10" s="315">
        <f>SUM(E8:E9)</f>
        <v>5475600</v>
      </c>
      <c r="F10" s="315">
        <f t="shared" ref="F10:G10" si="0">SUM(F8:F9)</f>
        <v>1170000</v>
      </c>
      <c r="G10" s="315">
        <f t="shared" si="0"/>
        <v>930852.00000000012</v>
      </c>
      <c r="H10" s="315">
        <f>SUM(H8:H9)</f>
        <v>438048</v>
      </c>
      <c r="I10" s="315">
        <f t="shared" ref="I10" si="1">SUM(I8:I9)</f>
        <v>27378</v>
      </c>
      <c r="J10" s="315">
        <f>SUM(J8:J9)</f>
        <v>164268</v>
      </c>
      <c r="K10" s="315">
        <f t="shared" ref="K10:L10" si="2">SUM(K8:K9)</f>
        <v>82134</v>
      </c>
      <c r="L10" s="315">
        <f t="shared" si="2"/>
        <v>54756</v>
      </c>
      <c r="M10" s="315">
        <f>SUM(M8:M9)</f>
        <v>54756</v>
      </c>
      <c r="N10" s="315">
        <f t="shared" ref="N10" si="3">SUM(N8:N9)</f>
        <v>109512</v>
      </c>
      <c r="O10" s="315">
        <f>SUM(O8:O9)</f>
        <v>6070662</v>
      </c>
      <c r="P10" s="332"/>
    </row>
    <row r="12" spans="1:16" ht="20.25" x14ac:dyDescent="0.35">
      <c r="A12" s="316" t="s">
        <v>298</v>
      </c>
      <c r="B12" s="303"/>
      <c r="C12" s="303"/>
      <c r="D12" s="303"/>
      <c r="E12" s="303"/>
      <c r="F12" s="303"/>
      <c r="G12" s="303"/>
      <c r="H12" s="303"/>
      <c r="I12" s="303"/>
      <c r="J12" s="303"/>
      <c r="K12" s="303"/>
      <c r="L12" s="303"/>
      <c r="M12" s="303"/>
      <c r="N12" s="303"/>
      <c r="O12" s="303"/>
    </row>
    <row r="13" spans="1:16" ht="18.75" x14ac:dyDescent="0.3">
      <c r="B13" s="317"/>
      <c r="C13" s="317"/>
      <c r="D13" s="317"/>
      <c r="E13" s="318"/>
      <c r="F13" s="319"/>
      <c r="G13" s="320"/>
      <c r="H13" s="321"/>
      <c r="I13" s="321"/>
      <c r="J13" s="321"/>
      <c r="K13" s="321"/>
      <c r="L13" s="376" t="s">
        <v>297</v>
      </c>
      <c r="M13" s="376"/>
      <c r="N13" s="376"/>
      <c r="O13" s="376"/>
    </row>
    <row r="14" spans="1:16" ht="18.75" x14ac:dyDescent="0.3">
      <c r="B14" s="375" t="s">
        <v>64</v>
      </c>
      <c r="C14" s="375"/>
      <c r="D14" s="322"/>
      <c r="E14" s="323"/>
      <c r="F14" s="323"/>
      <c r="G14" s="376" t="s">
        <v>23</v>
      </c>
      <c r="H14" s="376"/>
      <c r="I14" s="376"/>
      <c r="J14" s="322"/>
      <c r="K14" s="322"/>
      <c r="L14" s="376" t="s">
        <v>106</v>
      </c>
      <c r="M14" s="376"/>
      <c r="N14" s="376"/>
      <c r="O14" s="376"/>
    </row>
    <row r="15" spans="1:16" ht="19.5" x14ac:dyDescent="0.3">
      <c r="B15" s="373" t="s">
        <v>65</v>
      </c>
      <c r="C15" s="373"/>
      <c r="D15" s="324"/>
      <c r="E15" s="325"/>
      <c r="F15" s="303"/>
      <c r="G15" s="374" t="s">
        <v>65</v>
      </c>
      <c r="H15" s="374"/>
      <c r="I15" s="374"/>
      <c r="J15" s="321"/>
      <c r="K15" s="321"/>
      <c r="L15" s="374" t="s">
        <v>176</v>
      </c>
      <c r="M15" s="374"/>
      <c r="N15" s="374"/>
      <c r="O15" s="374"/>
    </row>
    <row r="16" spans="1:16" ht="18.75" x14ac:dyDescent="0.3">
      <c r="B16" s="319"/>
      <c r="C16" s="324"/>
      <c r="D16" s="324"/>
      <c r="E16" s="324"/>
      <c r="F16" s="324"/>
      <c r="G16" s="321"/>
      <c r="H16" s="321"/>
      <c r="I16" s="321"/>
      <c r="J16" s="321"/>
      <c r="K16" s="321"/>
      <c r="L16" s="321"/>
      <c r="M16" s="326"/>
      <c r="N16" s="327"/>
      <c r="O16" s="327"/>
    </row>
    <row r="17" spans="2:15" ht="18.75" x14ac:dyDescent="0.3">
      <c r="B17" s="319"/>
      <c r="C17" s="319"/>
      <c r="D17" s="319"/>
      <c r="E17" s="328"/>
      <c r="F17" s="319"/>
      <c r="G17" s="321"/>
      <c r="H17" s="321"/>
      <c r="I17" s="321"/>
      <c r="J17" s="321"/>
      <c r="K17" s="321"/>
      <c r="L17" s="321"/>
      <c r="M17" s="326"/>
      <c r="N17" s="326"/>
      <c r="O17" s="326"/>
    </row>
    <row r="18" spans="2:15" ht="18.75" x14ac:dyDescent="0.3">
      <c r="B18" s="319"/>
      <c r="C18" s="319"/>
      <c r="D18" s="319"/>
      <c r="E18" s="328"/>
      <c r="F18" s="319"/>
      <c r="G18" s="321"/>
      <c r="H18" s="321"/>
      <c r="I18" s="321"/>
      <c r="J18" s="321"/>
      <c r="K18" s="321"/>
      <c r="L18" s="321"/>
      <c r="M18" s="326"/>
      <c r="N18" s="326"/>
      <c r="O18" s="326"/>
    </row>
    <row r="19" spans="2:15" ht="18.75" x14ac:dyDescent="0.3">
      <c r="B19" s="319"/>
      <c r="C19" s="319"/>
      <c r="D19" s="319"/>
      <c r="E19" s="328"/>
      <c r="F19" s="319"/>
      <c r="G19" s="321"/>
      <c r="H19" s="321"/>
      <c r="I19" s="321"/>
      <c r="J19" s="321"/>
      <c r="K19" s="321"/>
      <c r="L19" s="321"/>
      <c r="M19" s="326"/>
      <c r="N19" s="326"/>
      <c r="O19" s="326"/>
    </row>
    <row r="20" spans="2:15" ht="18.75" x14ac:dyDescent="0.3">
      <c r="B20" s="375" t="s">
        <v>147</v>
      </c>
      <c r="C20" s="375"/>
      <c r="D20" s="322"/>
      <c r="E20" s="323"/>
      <c r="F20" s="323"/>
      <c r="G20" s="375" t="str">
        <f>B20</f>
        <v xml:space="preserve">Nguyễn Thị Lệ Thuyền </v>
      </c>
      <c r="H20" s="375"/>
      <c r="I20" s="375"/>
      <c r="J20" s="323"/>
      <c r="K20" s="323"/>
      <c r="L20" s="376" t="s">
        <v>228</v>
      </c>
      <c r="M20" s="376"/>
      <c r="N20" s="376"/>
      <c r="O20" s="376"/>
    </row>
    <row r="21" spans="2:15" ht="18.75" x14ac:dyDescent="0.3">
      <c r="B21" s="329"/>
      <c r="C21" s="329"/>
      <c r="D21" s="329"/>
      <c r="E21" s="330"/>
      <c r="F21" s="329"/>
      <c r="G21" s="322"/>
      <c r="H21" s="322"/>
      <c r="I21" s="322"/>
      <c r="J21" s="322"/>
      <c r="K21" s="322"/>
      <c r="L21" s="322"/>
      <c r="M21" s="329"/>
      <c r="N21" s="329"/>
      <c r="O21" s="329"/>
    </row>
    <row r="22" spans="2:15" ht="18.75" x14ac:dyDescent="0.3">
      <c r="B22" s="319"/>
      <c r="C22" s="319"/>
      <c r="D22" s="319"/>
      <c r="E22" s="319"/>
      <c r="F22" s="319"/>
      <c r="G22" s="321"/>
      <c r="H22" s="321"/>
      <c r="I22" s="321"/>
      <c r="J22" s="321"/>
      <c r="K22" s="321"/>
      <c r="L22" s="321"/>
      <c r="M22" s="319"/>
      <c r="N22" s="326"/>
      <c r="O22" s="326"/>
    </row>
  </sheetData>
  <mergeCells count="23">
    <mergeCell ref="A3:O3"/>
    <mergeCell ref="A4:O4"/>
    <mergeCell ref="A6:A7"/>
    <mergeCell ref="B6:B7"/>
    <mergeCell ref="C6:C7"/>
    <mergeCell ref="D6:D7"/>
    <mergeCell ref="E6:E7"/>
    <mergeCell ref="F6:F7"/>
    <mergeCell ref="G6:H6"/>
    <mergeCell ref="J6:K6"/>
    <mergeCell ref="P6:P7"/>
    <mergeCell ref="B15:C15"/>
    <mergeCell ref="G15:I15"/>
    <mergeCell ref="L15:O15"/>
    <mergeCell ref="B20:C20"/>
    <mergeCell ref="G20:I20"/>
    <mergeCell ref="L20:O20"/>
    <mergeCell ref="L6:M6"/>
    <mergeCell ref="O6:O7"/>
    <mergeCell ref="L13:O13"/>
    <mergeCell ref="B14:C14"/>
    <mergeCell ref="G14:I14"/>
    <mergeCell ref="L14:O14"/>
  </mergeCells>
  <pageMargins left="0.23622047244094491" right="0.15748031496062992" top="0.19685039370078741" bottom="0.74803149606299213" header="0.31496062992125984" footer="0.31496062992125984"/>
  <pageSetup paperSize="9" scale="75"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0"/>
  <sheetViews>
    <sheetView topLeftCell="AB5" workbookViewId="0">
      <selection activeCell="N1" sqref="A1:XFD1048576"/>
    </sheetView>
  </sheetViews>
  <sheetFormatPr defaultRowHeight="18.75" x14ac:dyDescent="0.3"/>
  <cols>
    <col min="1" max="1" width="2.77734375" style="11" customWidth="1"/>
    <col min="2" max="2" width="10" style="11" customWidth="1"/>
    <col min="3" max="3" width="7.88671875" style="263" customWidth="1"/>
    <col min="4" max="4" width="4.6640625" style="263" customWidth="1"/>
    <col min="5" max="5" width="0.5546875" style="11" hidden="1" customWidth="1"/>
    <col min="6" max="6" width="3.6640625" style="11" customWidth="1"/>
    <col min="7" max="7" width="1" style="11" hidden="1" customWidth="1"/>
    <col min="8" max="8" width="5" style="11" customWidth="1"/>
    <col min="9" max="9" width="3.5546875" style="11" customWidth="1"/>
    <col min="10" max="10" width="4.6640625" style="11" customWidth="1"/>
    <col min="11" max="11" width="4.77734375" style="11" customWidth="1"/>
    <col min="12" max="12" width="4.33203125" style="11" customWidth="1"/>
    <col min="13" max="13" width="4.44140625" style="11" hidden="1" customWidth="1"/>
    <col min="14" max="14" width="3.6640625" style="11" customWidth="1"/>
    <col min="15" max="15" width="7.109375" style="11" hidden="1" customWidth="1"/>
    <col min="16" max="16" width="0.88671875" style="11" hidden="1" customWidth="1"/>
    <col min="17" max="17" width="3.44140625" style="11" customWidth="1"/>
    <col min="18" max="18" width="4.33203125" style="11" customWidth="1"/>
    <col min="19" max="19" width="3.21875" style="11" customWidth="1"/>
    <col min="20" max="20" width="4.5546875" style="11" customWidth="1"/>
    <col min="21" max="21" width="6.21875" style="263" customWidth="1"/>
    <col min="22" max="22" width="4.21875" style="11" customWidth="1"/>
    <col min="23" max="23" width="5.44140625" style="11" hidden="1" customWidth="1"/>
    <col min="24" max="24" width="5" style="11" hidden="1" customWidth="1"/>
    <col min="25" max="25" width="0.109375" style="11" hidden="1" customWidth="1"/>
    <col min="26" max="26" width="7.109375" style="11" hidden="1" customWidth="1"/>
    <col min="27" max="27" width="2.88671875" style="11" customWidth="1"/>
    <col min="28" max="28" width="5.5546875" style="11" customWidth="1"/>
    <col min="29" max="29" width="2.77734375" style="11" customWidth="1"/>
    <col min="30" max="30" width="4.88671875" style="11" customWidth="1"/>
    <col min="31" max="31" width="5.109375" style="11" customWidth="1"/>
    <col min="32" max="32" width="8.6640625" style="263" customWidth="1"/>
    <col min="33" max="33" width="3.21875" style="11" customWidth="1"/>
    <col min="34" max="34" width="1.109375" style="11" hidden="1" customWidth="1"/>
    <col min="35" max="35" width="5.88671875" style="11" customWidth="1"/>
    <col min="36" max="36" width="5.109375" style="11" customWidth="1"/>
    <col min="37" max="37" width="5" style="11" customWidth="1"/>
    <col min="38" max="38" width="5.33203125" style="11" customWidth="1"/>
    <col min="39" max="39" width="7.21875" style="11" customWidth="1"/>
    <col min="40" max="40" width="4.88671875" style="11" customWidth="1"/>
    <col min="41" max="41" width="7.33203125" style="11" customWidth="1"/>
    <col min="42" max="42" width="5.5546875" style="11" customWidth="1"/>
    <col min="43" max="43" width="6.21875" style="11" customWidth="1"/>
    <col min="44" max="44" width="6.109375" style="11" customWidth="1"/>
    <col min="45" max="45" width="5.33203125" style="11" customWidth="1"/>
    <col min="46" max="46" width="6.33203125" style="11" customWidth="1"/>
    <col min="47" max="47" width="5.44140625" style="11" customWidth="1"/>
    <col min="48" max="48" width="6.77734375" style="11" customWidth="1"/>
    <col min="49" max="49" width="7.33203125" style="11" customWidth="1"/>
    <col min="50" max="50" width="6.5546875" style="11" customWidth="1"/>
    <col min="51" max="51" width="5.44140625" style="11" customWidth="1"/>
    <col min="52" max="52" width="11.109375" style="11" customWidth="1"/>
    <col min="53" max="53" width="16.6640625" style="11" customWidth="1"/>
    <col min="54" max="54" width="7.5546875" style="11" customWidth="1"/>
    <col min="55" max="55" width="8.88671875" style="11" customWidth="1"/>
    <col min="56" max="56" width="7.5546875" style="11" customWidth="1"/>
    <col min="57" max="57" width="12.5546875" style="1" customWidth="1"/>
    <col min="58" max="58" width="6.21875" style="1" customWidth="1"/>
    <col min="59" max="59" width="10.109375" style="11" bestFit="1" customWidth="1"/>
    <col min="60" max="16384" width="8.88671875" style="11"/>
  </cols>
  <sheetData>
    <row r="1" spans="1:58" s="189" customFormat="1" x14ac:dyDescent="0.3">
      <c r="A1" s="389" t="s">
        <v>28</v>
      </c>
      <c r="B1" s="389"/>
      <c r="C1" s="389"/>
      <c r="D1" s="389"/>
      <c r="E1" s="389"/>
      <c r="F1" s="389"/>
      <c r="G1" s="389"/>
      <c r="H1" s="389"/>
      <c r="I1" s="389"/>
      <c r="J1" s="389"/>
      <c r="K1" s="188"/>
      <c r="L1" s="188"/>
      <c r="M1" s="188"/>
      <c r="N1" s="188"/>
      <c r="O1" s="188"/>
      <c r="P1" s="188"/>
      <c r="Q1" s="188"/>
      <c r="R1" s="188"/>
      <c r="T1" s="190"/>
      <c r="U1" s="191"/>
      <c r="V1" s="188"/>
      <c r="W1" s="188"/>
      <c r="X1" s="188"/>
      <c r="Y1" s="188"/>
      <c r="Z1" s="188"/>
      <c r="AA1" s="188"/>
      <c r="AB1" s="188"/>
      <c r="AD1" s="190"/>
      <c r="AE1" s="190"/>
      <c r="AF1" s="192"/>
      <c r="AG1" s="190"/>
      <c r="AH1" s="188"/>
      <c r="AI1" s="188"/>
      <c r="AJ1" s="188"/>
      <c r="AK1" s="188"/>
      <c r="AL1" s="188"/>
      <c r="AM1" s="193"/>
      <c r="AN1" s="188"/>
      <c r="AO1" s="194"/>
      <c r="AX1" s="289"/>
      <c r="BE1" s="1"/>
      <c r="BF1" s="3"/>
    </row>
    <row r="2" spans="1:58" s="189" customFormat="1" x14ac:dyDescent="0.3">
      <c r="A2" s="390" t="s">
        <v>30</v>
      </c>
      <c r="B2" s="390"/>
      <c r="C2" s="390"/>
      <c r="D2" s="390"/>
      <c r="E2" s="390"/>
      <c r="F2" s="390"/>
      <c r="G2" s="390"/>
      <c r="H2" s="390"/>
      <c r="I2" s="390"/>
      <c r="J2" s="390"/>
      <c r="K2" s="188"/>
      <c r="L2" s="188"/>
      <c r="M2" s="188"/>
      <c r="N2" s="188"/>
      <c r="O2" s="188"/>
      <c r="P2" s="188"/>
      <c r="Q2" s="188"/>
      <c r="R2" s="188"/>
      <c r="T2" s="190"/>
      <c r="U2" s="191"/>
      <c r="V2" s="188"/>
      <c r="W2" s="188"/>
      <c r="X2" s="188"/>
      <c r="Y2" s="188"/>
      <c r="Z2" s="188"/>
      <c r="AA2" s="188"/>
      <c r="AB2" s="188"/>
      <c r="AD2" s="190"/>
      <c r="AE2" s="190"/>
      <c r="AF2" s="192"/>
      <c r="AG2" s="190"/>
      <c r="AH2" s="188"/>
      <c r="AI2" s="188"/>
      <c r="AJ2" s="188"/>
      <c r="AK2" s="188"/>
      <c r="AL2" s="188"/>
      <c r="AM2" s="193"/>
      <c r="AN2" s="188"/>
      <c r="AO2" s="194"/>
      <c r="BE2" s="1"/>
      <c r="BF2" s="3"/>
    </row>
    <row r="3" spans="1:58" s="195" customFormat="1" ht="63.75" customHeight="1" x14ac:dyDescent="0.3">
      <c r="A3" s="391" t="s">
        <v>269</v>
      </c>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c r="AK3" s="391"/>
      <c r="AL3" s="391"/>
      <c r="AM3" s="391"/>
      <c r="AN3" s="391"/>
      <c r="AO3" s="391"/>
      <c r="AP3" s="391"/>
      <c r="AQ3" s="391"/>
      <c r="AR3" s="391"/>
      <c r="AS3" s="391"/>
      <c r="AT3" s="391"/>
      <c r="AU3" s="391"/>
      <c r="AV3" s="391"/>
      <c r="AW3" s="391"/>
      <c r="AX3" s="391"/>
      <c r="AY3" s="391"/>
      <c r="AZ3" s="295"/>
      <c r="BA3" s="295"/>
      <c r="BB3" s="295" t="s">
        <v>239</v>
      </c>
      <c r="BC3" s="295"/>
      <c r="BD3" s="295"/>
      <c r="BE3" s="1"/>
      <c r="BF3" s="3"/>
    </row>
    <row r="4" spans="1:58" s="198" customFormat="1" ht="20.25" customHeight="1" x14ac:dyDescent="0.3">
      <c r="A4" s="392" t="s">
        <v>240</v>
      </c>
      <c r="B4" s="392" t="s">
        <v>31</v>
      </c>
      <c r="C4" s="387" t="s">
        <v>32</v>
      </c>
      <c r="D4" s="394" t="s">
        <v>241</v>
      </c>
      <c r="E4" s="395"/>
      <c r="F4" s="395"/>
      <c r="G4" s="395"/>
      <c r="H4" s="395"/>
      <c r="I4" s="395"/>
      <c r="J4" s="395"/>
      <c r="K4" s="396"/>
      <c r="L4" s="394" t="s">
        <v>242</v>
      </c>
      <c r="M4" s="395"/>
      <c r="N4" s="395"/>
      <c r="O4" s="395"/>
      <c r="P4" s="395"/>
      <c r="Q4" s="395"/>
      <c r="R4" s="395"/>
      <c r="S4" s="395"/>
      <c r="T4" s="395"/>
      <c r="U4" s="396"/>
      <c r="V4" s="397" t="s">
        <v>243</v>
      </c>
      <c r="W4" s="398"/>
      <c r="X4" s="398"/>
      <c r="Y4" s="398"/>
      <c r="Z4" s="398"/>
      <c r="AA4" s="398"/>
      <c r="AB4" s="398"/>
      <c r="AC4" s="398"/>
      <c r="AD4" s="398"/>
      <c r="AE4" s="399"/>
      <c r="AF4" s="400" t="s">
        <v>244</v>
      </c>
      <c r="AG4" s="384" t="s">
        <v>245</v>
      </c>
      <c r="AH4" s="406" t="s">
        <v>246</v>
      </c>
      <c r="AI4" s="407" t="s">
        <v>247</v>
      </c>
      <c r="AJ4" s="407" t="s">
        <v>248</v>
      </c>
      <c r="AK4" s="407" t="s">
        <v>249</v>
      </c>
      <c r="AL4" s="388" t="s">
        <v>250</v>
      </c>
      <c r="AM4" s="387" t="s">
        <v>251</v>
      </c>
      <c r="AN4" s="388" t="s">
        <v>246</v>
      </c>
      <c r="AO4" s="408" t="s">
        <v>52</v>
      </c>
      <c r="AP4" s="387" t="s">
        <v>252</v>
      </c>
      <c r="AQ4" s="403" t="s">
        <v>40</v>
      </c>
      <c r="AR4" s="403"/>
      <c r="AS4" s="403" t="s">
        <v>41</v>
      </c>
      <c r="AT4" s="403"/>
      <c r="AU4" s="403" t="s">
        <v>42</v>
      </c>
      <c r="AV4" s="403"/>
      <c r="AW4" s="403" t="s">
        <v>43</v>
      </c>
      <c r="AX4" s="387" t="s">
        <v>46</v>
      </c>
      <c r="AY4" s="387" t="s">
        <v>47</v>
      </c>
      <c r="AZ4" s="196"/>
      <c r="BA4" s="196"/>
      <c r="BB4" s="197"/>
      <c r="BC4" s="197"/>
      <c r="BD4" s="197"/>
      <c r="BE4" s="290"/>
      <c r="BF4" s="3"/>
    </row>
    <row r="5" spans="1:58" s="201" customFormat="1" ht="25.5" customHeight="1" x14ac:dyDescent="0.2">
      <c r="A5" s="393"/>
      <c r="B5" s="392"/>
      <c r="C5" s="387"/>
      <c r="D5" s="384" t="s">
        <v>33</v>
      </c>
      <c r="E5" s="384" t="s">
        <v>34</v>
      </c>
      <c r="F5" s="384" t="s">
        <v>34</v>
      </c>
      <c r="G5" s="394" t="s">
        <v>35</v>
      </c>
      <c r="H5" s="396"/>
      <c r="I5" s="384" t="s">
        <v>35</v>
      </c>
      <c r="J5" s="384"/>
      <c r="K5" s="384" t="s">
        <v>253</v>
      </c>
      <c r="L5" s="384" t="s">
        <v>33</v>
      </c>
      <c r="M5" s="384" t="s">
        <v>34</v>
      </c>
      <c r="N5" s="384" t="s">
        <v>34</v>
      </c>
      <c r="O5" s="384" t="s">
        <v>35</v>
      </c>
      <c r="P5" s="384"/>
      <c r="Q5" s="384" t="s">
        <v>35</v>
      </c>
      <c r="R5" s="384"/>
      <c r="S5" s="384" t="s">
        <v>35</v>
      </c>
      <c r="T5" s="384"/>
      <c r="U5" s="384" t="s">
        <v>253</v>
      </c>
      <c r="V5" s="384" t="s">
        <v>33</v>
      </c>
      <c r="W5" s="385" t="s">
        <v>34</v>
      </c>
      <c r="X5" s="384" t="s">
        <v>34</v>
      </c>
      <c r="Y5" s="384" t="s">
        <v>35</v>
      </c>
      <c r="Z5" s="384"/>
      <c r="AA5" s="296"/>
      <c r="AB5" s="296"/>
      <c r="AC5" s="199" t="s">
        <v>35</v>
      </c>
      <c r="AD5" s="199"/>
      <c r="AE5" s="199"/>
      <c r="AF5" s="401"/>
      <c r="AG5" s="384"/>
      <c r="AH5" s="406"/>
      <c r="AI5" s="407"/>
      <c r="AJ5" s="407"/>
      <c r="AK5" s="407"/>
      <c r="AL5" s="388"/>
      <c r="AM5" s="387"/>
      <c r="AN5" s="388"/>
      <c r="AO5" s="408"/>
      <c r="AP5" s="387"/>
      <c r="AQ5" s="403"/>
      <c r="AR5" s="403"/>
      <c r="AS5" s="403"/>
      <c r="AT5" s="403"/>
      <c r="AU5" s="403"/>
      <c r="AV5" s="403"/>
      <c r="AW5" s="403"/>
      <c r="AX5" s="387"/>
      <c r="AY5" s="387"/>
      <c r="AZ5" s="298"/>
      <c r="BA5" s="298"/>
      <c r="BB5" s="200"/>
      <c r="BC5" s="200"/>
      <c r="BD5" s="200"/>
      <c r="BE5" s="288"/>
      <c r="BF5" s="3"/>
    </row>
    <row r="6" spans="1:58" s="207" customFormat="1" ht="90.75" customHeight="1" x14ac:dyDescent="0.2">
      <c r="A6" s="393"/>
      <c r="B6" s="392"/>
      <c r="C6" s="387"/>
      <c r="D6" s="404"/>
      <c r="E6" s="404"/>
      <c r="F6" s="404"/>
      <c r="G6" s="297" t="s">
        <v>48</v>
      </c>
      <c r="H6" s="202" t="s">
        <v>254</v>
      </c>
      <c r="I6" s="297" t="s">
        <v>48</v>
      </c>
      <c r="J6" s="202" t="s">
        <v>255</v>
      </c>
      <c r="K6" s="404"/>
      <c r="L6" s="404"/>
      <c r="M6" s="404"/>
      <c r="N6" s="404"/>
      <c r="O6" s="297" t="s">
        <v>48</v>
      </c>
      <c r="P6" s="202" t="s">
        <v>49</v>
      </c>
      <c r="Q6" s="297" t="s">
        <v>48</v>
      </c>
      <c r="R6" s="202" t="s">
        <v>49</v>
      </c>
      <c r="S6" s="297" t="s">
        <v>48</v>
      </c>
      <c r="T6" s="202" t="s">
        <v>50</v>
      </c>
      <c r="U6" s="404"/>
      <c r="V6" s="404"/>
      <c r="W6" s="386"/>
      <c r="X6" s="404"/>
      <c r="Y6" s="297" t="s">
        <v>48</v>
      </c>
      <c r="Z6" s="202" t="s">
        <v>49</v>
      </c>
      <c r="AA6" s="203" t="s">
        <v>48</v>
      </c>
      <c r="AB6" s="204" t="s">
        <v>256</v>
      </c>
      <c r="AC6" s="203" t="s">
        <v>48</v>
      </c>
      <c r="AD6" s="204" t="s">
        <v>50</v>
      </c>
      <c r="AE6" s="205" t="s">
        <v>253</v>
      </c>
      <c r="AF6" s="402"/>
      <c r="AG6" s="384"/>
      <c r="AH6" s="406"/>
      <c r="AI6" s="407"/>
      <c r="AJ6" s="407"/>
      <c r="AK6" s="407"/>
      <c r="AL6" s="388"/>
      <c r="AM6" s="387"/>
      <c r="AN6" s="388"/>
      <c r="AO6" s="408"/>
      <c r="AP6" s="387"/>
      <c r="AQ6" s="296" t="s">
        <v>68</v>
      </c>
      <c r="AR6" s="296" t="s">
        <v>53</v>
      </c>
      <c r="AS6" s="296" t="s">
        <v>54</v>
      </c>
      <c r="AT6" s="296" t="s">
        <v>55</v>
      </c>
      <c r="AU6" s="296" t="s">
        <v>56</v>
      </c>
      <c r="AV6" s="296" t="s">
        <v>57</v>
      </c>
      <c r="AW6" s="296" t="s">
        <v>58</v>
      </c>
      <c r="AX6" s="387"/>
      <c r="AY6" s="387"/>
      <c r="AZ6" s="298"/>
      <c r="BA6" s="298"/>
      <c r="BB6" s="200"/>
      <c r="BC6" s="200"/>
      <c r="BD6" s="200"/>
      <c r="BE6" s="287"/>
      <c r="BF6" s="206"/>
    </row>
    <row r="7" spans="1:58" s="210" customFormat="1" ht="11.25" customHeight="1" x14ac:dyDescent="0.2">
      <c r="A7" s="291" t="s">
        <v>1</v>
      </c>
      <c r="B7" s="291" t="s">
        <v>2</v>
      </c>
      <c r="C7" s="291" t="s">
        <v>59</v>
      </c>
      <c r="D7" s="291">
        <v>1</v>
      </c>
      <c r="E7" s="291">
        <v>2</v>
      </c>
      <c r="F7" s="291">
        <v>2</v>
      </c>
      <c r="G7" s="413">
        <v>3</v>
      </c>
      <c r="H7" s="414"/>
      <c r="I7" s="409">
        <v>3</v>
      </c>
      <c r="J7" s="409"/>
      <c r="K7" s="291">
        <v>4</v>
      </c>
      <c r="L7" s="291">
        <v>5</v>
      </c>
      <c r="M7" s="291">
        <v>2</v>
      </c>
      <c r="N7" s="291">
        <v>6</v>
      </c>
      <c r="O7" s="409">
        <v>3</v>
      </c>
      <c r="P7" s="409"/>
      <c r="Q7" s="291"/>
      <c r="R7" s="291"/>
      <c r="S7" s="409">
        <v>7</v>
      </c>
      <c r="T7" s="409"/>
      <c r="U7" s="291">
        <v>8</v>
      </c>
      <c r="V7" s="291">
        <v>9</v>
      </c>
      <c r="W7" s="291">
        <v>2</v>
      </c>
      <c r="X7" s="291"/>
      <c r="Y7" s="409">
        <v>3</v>
      </c>
      <c r="Z7" s="409"/>
      <c r="AA7" s="291"/>
      <c r="AB7" s="291"/>
      <c r="AC7" s="409">
        <v>10</v>
      </c>
      <c r="AD7" s="409"/>
      <c r="AE7" s="208">
        <v>11</v>
      </c>
      <c r="AF7" s="291">
        <v>12</v>
      </c>
      <c r="AG7" s="208">
        <v>13</v>
      </c>
      <c r="AH7" s="291">
        <v>14</v>
      </c>
      <c r="AI7" s="208">
        <v>15</v>
      </c>
      <c r="AJ7" s="291">
        <v>16</v>
      </c>
      <c r="AK7" s="291"/>
      <c r="AL7" s="208">
        <v>17</v>
      </c>
      <c r="AM7" s="291">
        <v>18</v>
      </c>
      <c r="AN7" s="208">
        <v>19</v>
      </c>
      <c r="AO7" s="291">
        <v>20</v>
      </c>
      <c r="AP7" s="208">
        <v>21</v>
      </c>
      <c r="AQ7" s="291">
        <v>22</v>
      </c>
      <c r="AR7" s="208">
        <v>23</v>
      </c>
      <c r="AS7" s="291">
        <v>24</v>
      </c>
      <c r="AT7" s="208">
        <v>25</v>
      </c>
      <c r="AU7" s="291">
        <v>26</v>
      </c>
      <c r="AV7" s="208">
        <v>27</v>
      </c>
      <c r="AW7" s="291">
        <v>28</v>
      </c>
      <c r="AX7" s="291">
        <v>32</v>
      </c>
      <c r="AY7" s="291" t="s">
        <v>60</v>
      </c>
      <c r="AZ7" s="209"/>
      <c r="BA7" s="209"/>
      <c r="BB7" s="209"/>
      <c r="BC7" s="209"/>
      <c r="BD7" s="209"/>
      <c r="BE7" s="292"/>
      <c r="BF7" s="3"/>
    </row>
    <row r="8" spans="1:58" s="220" customFormat="1" ht="20.25" customHeight="1" x14ac:dyDescent="0.3">
      <c r="A8" s="293" t="s">
        <v>61</v>
      </c>
      <c r="B8" s="211" t="s">
        <v>62</v>
      </c>
      <c r="C8" s="211"/>
      <c r="D8" s="212"/>
      <c r="E8" s="212"/>
      <c r="F8" s="212"/>
      <c r="G8" s="211"/>
      <c r="H8" s="213"/>
      <c r="I8" s="211"/>
      <c r="J8" s="214"/>
      <c r="K8" s="214"/>
      <c r="L8" s="215"/>
      <c r="M8" s="214"/>
      <c r="N8" s="214"/>
      <c r="O8" s="214"/>
      <c r="P8" s="214"/>
      <c r="Q8" s="214"/>
      <c r="R8" s="214"/>
      <c r="S8" s="211"/>
      <c r="T8" s="214"/>
      <c r="U8" s="214"/>
      <c r="V8" s="212"/>
      <c r="W8" s="211"/>
      <c r="X8" s="212"/>
      <c r="Y8" s="211"/>
      <c r="Z8" s="213"/>
      <c r="AA8" s="213"/>
      <c r="AB8" s="213"/>
      <c r="AC8" s="211"/>
      <c r="AD8" s="214"/>
      <c r="AE8" s="214"/>
      <c r="AF8" s="214"/>
      <c r="AG8" s="214"/>
      <c r="AH8" s="216"/>
      <c r="AI8" s="216"/>
      <c r="AJ8" s="216"/>
      <c r="AK8" s="216"/>
      <c r="AL8" s="216"/>
      <c r="AM8" s="217"/>
      <c r="AN8" s="216"/>
      <c r="AO8" s="217"/>
      <c r="AP8" s="217"/>
      <c r="AQ8" s="217"/>
      <c r="AR8" s="217"/>
      <c r="AS8" s="217"/>
      <c r="AT8" s="217"/>
      <c r="AU8" s="217"/>
      <c r="AV8" s="217"/>
      <c r="AW8" s="217"/>
      <c r="AX8" s="217"/>
      <c r="AY8" s="217"/>
      <c r="AZ8" s="218"/>
      <c r="BA8" s="218"/>
      <c r="BB8" s="218"/>
      <c r="BC8" s="218"/>
      <c r="BD8" s="218"/>
      <c r="BE8" s="219"/>
      <c r="BF8" s="31"/>
    </row>
    <row r="9" spans="1:58" s="236" customFormat="1" ht="17.25" customHeight="1" x14ac:dyDescent="0.25">
      <c r="A9" s="221">
        <v>1</v>
      </c>
      <c r="B9" s="139" t="s">
        <v>270</v>
      </c>
      <c r="C9" s="139" t="s">
        <v>103</v>
      </c>
      <c r="D9" s="222">
        <v>3.86</v>
      </c>
      <c r="E9" s="223"/>
      <c r="F9" s="223"/>
      <c r="G9" s="224"/>
      <c r="H9" s="225"/>
      <c r="I9" s="226">
        <v>0.19</v>
      </c>
      <c r="J9" s="227">
        <f>ROUND((D9+F9)*I9,4)</f>
        <v>0.73340000000000005</v>
      </c>
      <c r="K9" s="228">
        <f>ROUND((D9+F9)*0.5,4)</f>
        <v>1.93</v>
      </c>
      <c r="L9" s="222">
        <v>4.0599999999999996</v>
      </c>
      <c r="M9" s="223"/>
      <c r="N9" s="223"/>
      <c r="O9" s="224"/>
      <c r="P9" s="225"/>
      <c r="Q9" s="226"/>
      <c r="R9" s="225"/>
      <c r="S9" s="226">
        <v>0.19</v>
      </c>
      <c r="T9" s="227">
        <f>ROUND((L9+N9)*S9,4)</f>
        <v>0.77139999999999997</v>
      </c>
      <c r="U9" s="228">
        <f>ROUND((L9+N9+R9)*0.5,4)</f>
        <v>2.0299999999999998</v>
      </c>
      <c r="V9" s="223">
        <f t="shared" ref="V9:V11" si="0">L9-D9</f>
        <v>0.19999999999999973</v>
      </c>
      <c r="W9" s="223"/>
      <c r="X9" s="223"/>
      <c r="Y9" s="224"/>
      <c r="Z9" s="225"/>
      <c r="AA9" s="225"/>
      <c r="AB9" s="225"/>
      <c r="AC9" s="226"/>
      <c r="AD9" s="227">
        <f t="shared" ref="AD9:AD11" si="1">ROUND((T9-J9),4)</f>
        <v>3.7999999999999999E-2</v>
      </c>
      <c r="AE9" s="227">
        <f t="shared" ref="AE9:AE11" si="2">U9-K9</f>
        <v>9.9999999999999867E-2</v>
      </c>
      <c r="AF9" s="227" t="s">
        <v>271</v>
      </c>
      <c r="AG9" s="229">
        <v>1</v>
      </c>
      <c r="AH9" s="227"/>
      <c r="AI9" s="227">
        <f t="shared" ref="AI9:AI11" si="3">(V9+AB9)*AG9</f>
        <v>0.19999999999999973</v>
      </c>
      <c r="AJ9" s="227">
        <f t="shared" ref="AJ9:AJ11" si="4">(AD9)*AG9</f>
        <v>3.7999999999999999E-2</v>
      </c>
      <c r="AK9" s="229">
        <f t="shared" ref="AK9:AK11" si="5">AB9*AG9</f>
        <v>0</v>
      </c>
      <c r="AL9" s="227">
        <f t="shared" ref="AL9:AL11" si="6">AI9+AJ9+AK9</f>
        <v>0.23799999999999974</v>
      </c>
      <c r="AM9" s="230">
        <f t="shared" ref="AM9:AM11" si="7">ROUND(AL9*1800000,0)</f>
        <v>428400</v>
      </c>
      <c r="AN9" s="231">
        <f t="shared" ref="AN9:AN11" si="8">ROUND(AE9*AG9,4)</f>
        <v>0.1</v>
      </c>
      <c r="AO9" s="230">
        <f t="shared" ref="AO9:AO11" si="9">ROUND((AN9*1800000),0)</f>
        <v>180000</v>
      </c>
      <c r="AP9" s="232">
        <f t="shared" ref="AP9:AP11" si="10">ROUND((AM9*0.5/100),0)</f>
        <v>2142</v>
      </c>
      <c r="AQ9" s="232">
        <f t="shared" ref="AQ9:AQ11" si="11">ROUND((AM9*17/100),0)</f>
        <v>72828</v>
      </c>
      <c r="AR9" s="232">
        <f t="shared" ref="AR9:AR11" si="12">ROUND((AM9*8/100),0)</f>
        <v>34272</v>
      </c>
      <c r="AS9" s="232">
        <f t="shared" ref="AS9:AS11" si="13">ROUND((AM9*3/100),0)</f>
        <v>12852</v>
      </c>
      <c r="AT9" s="232">
        <f t="shared" ref="AT9:AT11" si="14">ROUND((AM9*1.5/100),0)</f>
        <v>6426</v>
      </c>
      <c r="AU9" s="232">
        <f t="shared" ref="AU9:AU11" si="15">ROUND((AM9/100),0)</f>
        <v>4284</v>
      </c>
      <c r="AV9" s="232">
        <f t="shared" ref="AV9:AV11" si="16">ROUND((AM9/100),0)</f>
        <v>4284</v>
      </c>
      <c r="AW9" s="232">
        <f t="shared" ref="AW9:AW11" si="17">AM9*2/100</f>
        <v>8568</v>
      </c>
      <c r="AX9" s="232">
        <f t="shared" ref="AX9:AX11" si="18">ROUND((AM9+AO9-AR9-AT9-AV9),0)</f>
        <v>563418</v>
      </c>
      <c r="AY9" s="233"/>
      <c r="AZ9" s="181"/>
      <c r="BA9" s="140" t="e">
        <f>#REF!-'[1]tinh lai tlinh dung  '!AZ11</f>
        <v>#REF!</v>
      </c>
      <c r="BB9" s="140">
        <f t="shared" ref="BB9" si="19">AX9/5</f>
        <v>112683.6</v>
      </c>
      <c r="BC9" s="140"/>
      <c r="BD9" s="140">
        <f t="shared" ref="BD9" si="20">AX9/AG9</f>
        <v>563418</v>
      </c>
      <c r="BE9" s="234"/>
      <c r="BF9" s="235"/>
    </row>
    <row r="10" spans="1:58" s="236" customFormat="1" ht="17.25" customHeight="1" x14ac:dyDescent="0.25">
      <c r="A10" s="221">
        <v>2</v>
      </c>
      <c r="B10" s="139" t="s">
        <v>272</v>
      </c>
      <c r="C10" s="139" t="s">
        <v>224</v>
      </c>
      <c r="D10" s="222">
        <v>4.32</v>
      </c>
      <c r="E10" s="223"/>
      <c r="F10" s="223"/>
      <c r="G10" s="224"/>
      <c r="H10" s="225"/>
      <c r="I10" s="226">
        <v>0.27</v>
      </c>
      <c r="J10" s="227">
        <f>ROUND((D10+F10)*I10,4)</f>
        <v>1.1664000000000001</v>
      </c>
      <c r="K10" s="228">
        <f>ROUND((D10+F10)*0.5,4)</f>
        <v>2.16</v>
      </c>
      <c r="L10" s="222">
        <v>4.6500000000000004</v>
      </c>
      <c r="M10" s="223"/>
      <c r="N10" s="223"/>
      <c r="O10" s="224"/>
      <c r="P10" s="225"/>
      <c r="Q10" s="226"/>
      <c r="R10" s="225"/>
      <c r="S10" s="226">
        <v>0.27</v>
      </c>
      <c r="T10" s="227">
        <f>ROUND((L10+N10)*S10,4)</f>
        <v>1.2555000000000001</v>
      </c>
      <c r="U10" s="228">
        <f>ROUND((L10+N10+R10)*0.5,4)</f>
        <v>2.3250000000000002</v>
      </c>
      <c r="V10" s="223">
        <f t="shared" si="0"/>
        <v>0.33000000000000007</v>
      </c>
      <c r="W10" s="223"/>
      <c r="X10" s="223"/>
      <c r="Y10" s="224"/>
      <c r="Z10" s="225"/>
      <c r="AA10" s="225"/>
      <c r="AB10" s="225"/>
      <c r="AC10" s="226"/>
      <c r="AD10" s="227">
        <f t="shared" si="1"/>
        <v>8.9099999999999999E-2</v>
      </c>
      <c r="AE10" s="227">
        <f t="shared" si="2"/>
        <v>0.16500000000000004</v>
      </c>
      <c r="AF10" s="227" t="s">
        <v>273</v>
      </c>
      <c r="AG10" s="229">
        <v>3</v>
      </c>
      <c r="AH10" s="227"/>
      <c r="AI10" s="227">
        <f t="shared" si="3"/>
        <v>0.99000000000000021</v>
      </c>
      <c r="AJ10" s="227">
        <f t="shared" si="4"/>
        <v>0.26729999999999998</v>
      </c>
      <c r="AK10" s="229">
        <f t="shared" si="5"/>
        <v>0</v>
      </c>
      <c r="AL10" s="227">
        <f t="shared" si="6"/>
        <v>1.2573000000000003</v>
      </c>
      <c r="AM10" s="230">
        <f t="shared" si="7"/>
        <v>2263140</v>
      </c>
      <c r="AN10" s="231">
        <f t="shared" si="8"/>
        <v>0.495</v>
      </c>
      <c r="AO10" s="230">
        <f t="shared" si="9"/>
        <v>891000</v>
      </c>
      <c r="AP10" s="232">
        <f t="shared" si="10"/>
        <v>11316</v>
      </c>
      <c r="AQ10" s="232">
        <f t="shared" si="11"/>
        <v>384734</v>
      </c>
      <c r="AR10" s="232">
        <f t="shared" si="12"/>
        <v>181051</v>
      </c>
      <c r="AS10" s="232">
        <f t="shared" si="13"/>
        <v>67894</v>
      </c>
      <c r="AT10" s="232">
        <f t="shared" si="14"/>
        <v>33947</v>
      </c>
      <c r="AU10" s="232">
        <f t="shared" si="15"/>
        <v>22631</v>
      </c>
      <c r="AV10" s="232">
        <f t="shared" si="16"/>
        <v>22631</v>
      </c>
      <c r="AW10" s="232">
        <f t="shared" si="17"/>
        <v>45262.8</v>
      </c>
      <c r="AX10" s="232">
        <f t="shared" si="18"/>
        <v>2916511</v>
      </c>
      <c r="AY10" s="233"/>
      <c r="AZ10" s="181"/>
      <c r="BA10" s="140"/>
      <c r="BB10" s="140"/>
      <c r="BC10" s="140"/>
      <c r="BD10" s="140"/>
      <c r="BE10" s="234"/>
      <c r="BF10" s="235"/>
    </row>
    <row r="11" spans="1:58" s="236" customFormat="1" ht="17.25" customHeight="1" x14ac:dyDescent="0.25">
      <c r="A11" s="221">
        <v>3</v>
      </c>
      <c r="B11" s="139" t="s">
        <v>274</v>
      </c>
      <c r="C11" s="139" t="s">
        <v>225</v>
      </c>
      <c r="D11" s="222">
        <v>4</v>
      </c>
      <c r="E11" s="223"/>
      <c r="F11" s="223"/>
      <c r="G11" s="224"/>
      <c r="H11" s="225"/>
      <c r="I11" s="226">
        <v>0.17</v>
      </c>
      <c r="J11" s="227">
        <f>ROUND((D11+F11)*I11,4)</f>
        <v>0.68</v>
      </c>
      <c r="K11" s="228">
        <f>ROUND((D11+F11)*0.5,4)</f>
        <v>2</v>
      </c>
      <c r="L11" s="222">
        <v>4.34</v>
      </c>
      <c r="M11" s="223"/>
      <c r="N11" s="223"/>
      <c r="O11" s="224"/>
      <c r="P11" s="225"/>
      <c r="Q11" s="226"/>
      <c r="R11" s="225"/>
      <c r="S11" s="226">
        <v>0.17</v>
      </c>
      <c r="T11" s="227">
        <f>ROUND((L11+N11)*S11,4)</f>
        <v>0.73780000000000001</v>
      </c>
      <c r="U11" s="228">
        <f>ROUND((L11+N11+R11)*0.5,4)</f>
        <v>2.17</v>
      </c>
      <c r="V11" s="223">
        <f t="shared" si="0"/>
        <v>0.33999999999999986</v>
      </c>
      <c r="W11" s="223"/>
      <c r="X11" s="223"/>
      <c r="Y11" s="224"/>
      <c r="Z11" s="225"/>
      <c r="AA11" s="225"/>
      <c r="AB11" s="225"/>
      <c r="AC11" s="226"/>
      <c r="AD11" s="227">
        <f t="shared" si="1"/>
        <v>5.7799999999999997E-2</v>
      </c>
      <c r="AE11" s="227">
        <f t="shared" si="2"/>
        <v>0.16999999999999993</v>
      </c>
      <c r="AF11" s="227" t="s">
        <v>275</v>
      </c>
      <c r="AG11" s="229">
        <v>4</v>
      </c>
      <c r="AH11" s="227"/>
      <c r="AI11" s="227">
        <f t="shared" si="3"/>
        <v>1.3599999999999994</v>
      </c>
      <c r="AJ11" s="227">
        <f t="shared" si="4"/>
        <v>0.23119999999999999</v>
      </c>
      <c r="AK11" s="229">
        <f t="shared" si="5"/>
        <v>0</v>
      </c>
      <c r="AL11" s="227">
        <f t="shared" si="6"/>
        <v>1.5911999999999995</v>
      </c>
      <c r="AM11" s="230">
        <f t="shared" si="7"/>
        <v>2864160</v>
      </c>
      <c r="AN11" s="231">
        <f t="shared" si="8"/>
        <v>0.68</v>
      </c>
      <c r="AO11" s="230">
        <f t="shared" si="9"/>
        <v>1224000</v>
      </c>
      <c r="AP11" s="232">
        <f t="shared" si="10"/>
        <v>14321</v>
      </c>
      <c r="AQ11" s="232">
        <f t="shared" si="11"/>
        <v>486907</v>
      </c>
      <c r="AR11" s="232">
        <f t="shared" si="12"/>
        <v>229133</v>
      </c>
      <c r="AS11" s="232">
        <f t="shared" si="13"/>
        <v>85925</v>
      </c>
      <c r="AT11" s="232">
        <f t="shared" si="14"/>
        <v>42962</v>
      </c>
      <c r="AU11" s="232">
        <f t="shared" si="15"/>
        <v>28642</v>
      </c>
      <c r="AV11" s="232">
        <f t="shared" si="16"/>
        <v>28642</v>
      </c>
      <c r="AW11" s="232">
        <f t="shared" si="17"/>
        <v>57283.199999999997</v>
      </c>
      <c r="AX11" s="232">
        <f t="shared" si="18"/>
        <v>3787423</v>
      </c>
      <c r="AY11" s="233"/>
      <c r="AZ11" s="181"/>
      <c r="BA11" s="140"/>
      <c r="BB11" s="140"/>
      <c r="BC11" s="140"/>
      <c r="BD11" s="140"/>
      <c r="BE11" s="234"/>
      <c r="BF11" s="235"/>
    </row>
    <row r="12" spans="1:58" s="236" customFormat="1" ht="17.25" customHeight="1" x14ac:dyDescent="0.25">
      <c r="A12" s="221"/>
      <c r="B12" s="139"/>
      <c r="C12" s="139"/>
      <c r="D12" s="222"/>
      <c r="E12" s="223"/>
      <c r="F12" s="223"/>
      <c r="G12" s="224"/>
      <c r="H12" s="225"/>
      <c r="I12" s="226"/>
      <c r="J12" s="227"/>
      <c r="K12" s="228"/>
      <c r="L12" s="222"/>
      <c r="M12" s="223"/>
      <c r="N12" s="223"/>
      <c r="O12" s="224"/>
      <c r="P12" s="225"/>
      <c r="Q12" s="226"/>
      <c r="R12" s="225"/>
      <c r="S12" s="226"/>
      <c r="T12" s="227"/>
      <c r="U12" s="228"/>
      <c r="V12" s="223"/>
      <c r="W12" s="223"/>
      <c r="X12" s="223"/>
      <c r="Y12" s="224"/>
      <c r="Z12" s="225"/>
      <c r="AA12" s="225"/>
      <c r="AB12" s="225"/>
      <c r="AC12" s="226"/>
      <c r="AD12" s="227"/>
      <c r="AE12" s="227"/>
      <c r="AF12" s="227"/>
      <c r="AG12" s="229"/>
      <c r="AH12" s="227"/>
      <c r="AI12" s="227"/>
      <c r="AJ12" s="227"/>
      <c r="AK12" s="229"/>
      <c r="AL12" s="227"/>
      <c r="AM12" s="230"/>
      <c r="AN12" s="231"/>
      <c r="AO12" s="230"/>
      <c r="AP12" s="232"/>
      <c r="AQ12" s="232"/>
      <c r="AR12" s="232"/>
      <c r="AS12" s="232"/>
      <c r="AT12" s="232"/>
      <c r="AU12" s="232"/>
      <c r="AV12" s="232"/>
      <c r="AW12" s="232"/>
      <c r="AX12" s="232"/>
      <c r="AY12" s="233"/>
      <c r="AZ12" s="181"/>
      <c r="BA12" s="140"/>
      <c r="BB12" s="140"/>
      <c r="BC12" s="140"/>
      <c r="BD12" s="140"/>
      <c r="BE12" s="234"/>
      <c r="BF12" s="235"/>
    </row>
    <row r="13" spans="1:58" s="236" customFormat="1" ht="17.25" customHeight="1" x14ac:dyDescent="0.25">
      <c r="A13" s="221"/>
      <c r="B13" s="139"/>
      <c r="C13" s="139"/>
      <c r="D13" s="222"/>
      <c r="E13" s="223"/>
      <c r="F13" s="223"/>
      <c r="G13" s="224"/>
      <c r="H13" s="225"/>
      <c r="I13" s="226"/>
      <c r="J13" s="227"/>
      <c r="K13" s="228"/>
      <c r="L13" s="222"/>
      <c r="M13" s="223"/>
      <c r="N13" s="223"/>
      <c r="O13" s="224"/>
      <c r="P13" s="225"/>
      <c r="Q13" s="226"/>
      <c r="R13" s="225"/>
      <c r="S13" s="226"/>
      <c r="T13" s="227"/>
      <c r="U13" s="228"/>
      <c r="V13" s="223"/>
      <c r="W13" s="223"/>
      <c r="X13" s="223"/>
      <c r="Y13" s="224"/>
      <c r="Z13" s="225"/>
      <c r="AA13" s="225"/>
      <c r="AB13" s="225"/>
      <c r="AC13" s="226"/>
      <c r="AD13" s="227"/>
      <c r="AE13" s="227"/>
      <c r="AF13" s="227"/>
      <c r="AG13" s="229"/>
      <c r="AH13" s="227"/>
      <c r="AI13" s="227"/>
      <c r="AJ13" s="227"/>
      <c r="AK13" s="229"/>
      <c r="AL13" s="227"/>
      <c r="AM13" s="230"/>
      <c r="AN13" s="231"/>
      <c r="AO13" s="230"/>
      <c r="AP13" s="232"/>
      <c r="AQ13" s="232"/>
      <c r="AR13" s="232"/>
      <c r="AS13" s="232"/>
      <c r="AT13" s="232"/>
      <c r="AU13" s="232"/>
      <c r="AV13" s="232"/>
      <c r="AW13" s="232"/>
      <c r="AX13" s="232"/>
      <c r="AY13" s="233"/>
      <c r="AZ13" s="181"/>
      <c r="BA13" s="140"/>
      <c r="BB13" s="140"/>
      <c r="BC13" s="140"/>
      <c r="BD13" s="140"/>
      <c r="BE13" s="234"/>
      <c r="BF13" s="235"/>
    </row>
    <row r="14" spans="1:58" s="220" customFormat="1" ht="17.25" customHeight="1" x14ac:dyDescent="0.2">
      <c r="A14" s="416" t="s">
        <v>63</v>
      </c>
      <c r="B14" s="416"/>
      <c r="C14" s="211"/>
      <c r="D14" s="237">
        <f>SUM(D9:D13)</f>
        <v>12.18</v>
      </c>
      <c r="E14" s="237">
        <f t="shared" ref="E14:M14" si="21">SUM(E9:E13)</f>
        <v>0</v>
      </c>
      <c r="F14" s="237"/>
      <c r="G14" s="237"/>
      <c r="H14" s="237"/>
      <c r="I14" s="237"/>
      <c r="J14" s="240">
        <f t="shared" si="21"/>
        <v>2.5798000000000001</v>
      </c>
      <c r="K14" s="240">
        <f t="shared" si="21"/>
        <v>6.09</v>
      </c>
      <c r="L14" s="237">
        <f t="shared" si="21"/>
        <v>13.05</v>
      </c>
      <c r="M14" s="237">
        <f t="shared" si="21"/>
        <v>0</v>
      </c>
      <c r="N14" s="237"/>
      <c r="O14" s="237"/>
      <c r="P14" s="237"/>
      <c r="Q14" s="237"/>
      <c r="R14" s="237"/>
      <c r="S14" s="237"/>
      <c r="T14" s="240">
        <f t="shared" ref="T14:Z14" si="22">SUM(T9:T13)</f>
        <v>2.7646999999999999</v>
      </c>
      <c r="U14" s="240">
        <f t="shared" si="22"/>
        <v>6.5250000000000004</v>
      </c>
      <c r="V14" s="237">
        <f t="shared" si="22"/>
        <v>0.86999999999999966</v>
      </c>
      <c r="W14" s="237">
        <f t="shared" si="22"/>
        <v>0</v>
      </c>
      <c r="X14" s="237">
        <f t="shared" si="22"/>
        <v>0</v>
      </c>
      <c r="Y14" s="237">
        <f t="shared" si="22"/>
        <v>0</v>
      </c>
      <c r="Z14" s="237">
        <f t="shared" si="22"/>
        <v>0</v>
      </c>
      <c r="AA14" s="237"/>
      <c r="AB14" s="237"/>
      <c r="AC14" s="237"/>
      <c r="AD14" s="268">
        <f t="shared" ref="AD14:AE14" si="23">SUM(AD9:AD13)</f>
        <v>0.18489999999999998</v>
      </c>
      <c r="AE14" s="268">
        <f t="shared" si="23"/>
        <v>0.43499999999999983</v>
      </c>
      <c r="AF14" s="240"/>
      <c r="AG14" s="240"/>
      <c r="AH14" s="240">
        <f t="shared" ref="AH14:AZ14" si="24">SUM(AH9:AH9)</f>
        <v>0</v>
      </c>
      <c r="AI14" s="238">
        <f>SUM(AI9:AI13)</f>
        <v>2.5499999999999994</v>
      </c>
      <c r="AJ14" s="238">
        <f>SUM(AJ9:AJ13)</f>
        <v>0.53649999999999998</v>
      </c>
      <c r="AK14" s="238">
        <f t="shared" ref="AK14:AN14" si="25">SUM(AK9:AK13)</f>
        <v>0</v>
      </c>
      <c r="AL14" s="238">
        <f t="shared" si="25"/>
        <v>3.0864999999999996</v>
      </c>
      <c r="AM14" s="141">
        <f t="shared" si="25"/>
        <v>5555700</v>
      </c>
      <c r="AN14" s="238">
        <f t="shared" si="25"/>
        <v>1.2749999999999999</v>
      </c>
      <c r="AO14" s="141">
        <f>SUM(AO9:AO13)</f>
        <v>2295000</v>
      </c>
      <c r="AP14" s="141">
        <f t="shared" ref="AP14:AX14" si="26">SUM(AP9:AP13)</f>
        <v>27779</v>
      </c>
      <c r="AQ14" s="141">
        <f t="shared" si="26"/>
        <v>944469</v>
      </c>
      <c r="AR14" s="141">
        <f t="shared" si="26"/>
        <v>444456</v>
      </c>
      <c r="AS14" s="141">
        <f t="shared" si="26"/>
        <v>166671</v>
      </c>
      <c r="AT14" s="141">
        <f t="shared" si="26"/>
        <v>83335</v>
      </c>
      <c r="AU14" s="141">
        <f t="shared" si="26"/>
        <v>55557</v>
      </c>
      <c r="AV14" s="141">
        <f t="shared" si="26"/>
        <v>55557</v>
      </c>
      <c r="AW14" s="141">
        <f t="shared" si="26"/>
        <v>111114</v>
      </c>
      <c r="AX14" s="141">
        <f t="shared" si="26"/>
        <v>7267352</v>
      </c>
      <c r="AY14" s="183">
        <f t="shared" si="24"/>
        <v>0</v>
      </c>
      <c r="AZ14" s="183">
        <f t="shared" si="24"/>
        <v>0</v>
      </c>
      <c r="BA14" s="141" t="e">
        <f>SUM(#REF!)</f>
        <v>#REF!</v>
      </c>
      <c r="BB14" s="141" t="e">
        <f>SUM(#REF!)</f>
        <v>#REF!</v>
      </c>
      <c r="BC14" s="141" t="e">
        <f>#REF!-AX14</f>
        <v>#REF!</v>
      </c>
      <c r="BD14" s="141" t="e">
        <f>SUM(#REF!)</f>
        <v>#REF!</v>
      </c>
      <c r="BE14" s="219"/>
      <c r="BF14" s="127"/>
    </row>
    <row r="15" spans="1:58" s="189" customFormat="1" ht="4.5" customHeight="1" x14ac:dyDescent="0.3">
      <c r="A15" s="241"/>
      <c r="C15" s="8"/>
      <c r="D15" s="8"/>
      <c r="H15" s="190"/>
      <c r="J15" s="190"/>
      <c r="P15" s="190"/>
      <c r="Q15" s="190"/>
      <c r="R15" s="190"/>
      <c r="T15" s="190"/>
      <c r="U15" s="8"/>
      <c r="Z15" s="190"/>
      <c r="AA15" s="190"/>
      <c r="AB15" s="190"/>
      <c r="AD15" s="190"/>
      <c r="AE15" s="190"/>
      <c r="AF15" s="192"/>
      <c r="AG15" s="190"/>
      <c r="AH15" s="188"/>
      <c r="AI15" s="188"/>
      <c r="AJ15" s="188"/>
      <c r="AK15" s="188"/>
      <c r="AL15" s="188"/>
      <c r="AM15" s="193"/>
      <c r="AN15" s="188"/>
      <c r="AO15" s="194"/>
      <c r="AX15" s="242"/>
      <c r="BE15" s="219"/>
      <c r="BF15" s="1"/>
    </row>
    <row r="16" spans="1:58" s="244" customFormat="1" x14ac:dyDescent="0.3">
      <c r="A16" s="410" t="s">
        <v>276</v>
      </c>
      <c r="B16" s="410"/>
      <c r="C16" s="410"/>
      <c r="D16" s="410"/>
      <c r="E16" s="410"/>
      <c r="F16" s="410"/>
      <c r="G16" s="410"/>
      <c r="H16" s="410"/>
      <c r="I16" s="410"/>
      <c r="J16" s="410"/>
      <c r="K16" s="410"/>
      <c r="L16" s="410"/>
      <c r="M16" s="410"/>
      <c r="N16" s="410"/>
      <c r="O16" s="410"/>
      <c r="P16" s="410"/>
      <c r="Q16" s="410"/>
      <c r="R16" s="410"/>
      <c r="S16" s="410"/>
      <c r="T16" s="410"/>
      <c r="U16" s="410"/>
      <c r="V16" s="410"/>
      <c r="W16" s="410"/>
      <c r="X16" s="410"/>
      <c r="Y16" s="410"/>
      <c r="Z16" s="410"/>
      <c r="AA16" s="410"/>
      <c r="AB16" s="410"/>
      <c r="AC16" s="410"/>
      <c r="AD16" s="410"/>
      <c r="AE16" s="410"/>
      <c r="AF16" s="410"/>
      <c r="AG16" s="410"/>
      <c r="AH16" s="410"/>
      <c r="AI16" s="410"/>
      <c r="AJ16" s="410"/>
      <c r="AK16" s="410"/>
      <c r="AL16" s="410"/>
      <c r="AM16" s="410"/>
      <c r="AN16" s="410"/>
      <c r="AO16" s="410"/>
      <c r="AP16" s="410"/>
      <c r="AQ16" s="410"/>
      <c r="AR16" s="410"/>
      <c r="AS16" s="410"/>
      <c r="AT16" s="410"/>
      <c r="AU16" s="410"/>
      <c r="AV16" s="410"/>
      <c r="AW16" s="410"/>
      <c r="AX16" s="243"/>
      <c r="AZ16" s="245"/>
      <c r="BC16" s="45"/>
      <c r="BE16" s="45"/>
      <c r="BF16" s="1"/>
    </row>
    <row r="17" spans="1:59" s="247" customFormat="1" x14ac:dyDescent="0.3">
      <c r="A17" s="246"/>
      <c r="C17" s="8"/>
      <c r="D17" s="8"/>
      <c r="J17" s="248"/>
      <c r="T17" s="248"/>
      <c r="U17" s="8"/>
      <c r="AD17" s="248"/>
      <c r="AE17" s="248"/>
      <c r="AF17" s="192"/>
      <c r="AG17" s="248"/>
      <c r="AM17" s="249"/>
      <c r="AO17" s="249"/>
      <c r="AR17" s="250"/>
      <c r="AT17" s="250" t="s">
        <v>277</v>
      </c>
      <c r="AU17" s="250"/>
      <c r="AV17" s="250"/>
      <c r="AW17" s="250"/>
      <c r="AX17" s="250"/>
      <c r="AY17" s="250"/>
      <c r="AZ17" s="250"/>
      <c r="BA17" s="250"/>
      <c r="BB17" s="250"/>
      <c r="BC17" s="250"/>
      <c r="BD17" s="250"/>
      <c r="BE17" s="250"/>
      <c r="BF17" s="1"/>
    </row>
    <row r="18" spans="1:59" s="142" customFormat="1" x14ac:dyDescent="0.3">
      <c r="A18" s="251"/>
      <c r="C18" s="405"/>
      <c r="D18" s="405"/>
      <c r="E18" s="405"/>
      <c r="F18" s="289"/>
      <c r="J18" s="252"/>
      <c r="N18" s="289"/>
      <c r="Q18" s="142" t="s">
        <v>257</v>
      </c>
      <c r="T18" s="252"/>
      <c r="U18" s="253"/>
      <c r="X18" s="289"/>
      <c r="AD18" s="252"/>
      <c r="AE18" s="252"/>
      <c r="AF18" s="337" t="s">
        <v>258</v>
      </c>
      <c r="AG18" s="337"/>
      <c r="AH18" s="337"/>
      <c r="AI18" s="337"/>
      <c r="AJ18" s="337"/>
      <c r="AK18" s="337"/>
      <c r="AL18" s="337"/>
      <c r="AM18" s="337"/>
      <c r="AO18" s="254"/>
      <c r="AR18" s="337"/>
      <c r="AS18" s="337"/>
      <c r="AU18" s="255" t="s">
        <v>259</v>
      </c>
      <c r="AV18" s="255"/>
      <c r="AW18" s="255"/>
      <c r="AX18" s="255"/>
      <c r="AY18" s="255"/>
      <c r="AZ18" s="255"/>
      <c r="BA18" s="255"/>
      <c r="BB18" s="255"/>
      <c r="BC18" s="255"/>
      <c r="BD18" s="255"/>
      <c r="BE18" s="255"/>
      <c r="BF18" s="1"/>
    </row>
    <row r="19" spans="1:59" s="189" customFormat="1" x14ac:dyDescent="0.3">
      <c r="A19" s="241"/>
      <c r="C19" s="411"/>
      <c r="D19" s="411"/>
      <c r="E19" s="411"/>
      <c r="F19" s="294"/>
      <c r="H19" s="190"/>
      <c r="J19" s="190"/>
      <c r="K19" s="188"/>
      <c r="L19" s="188"/>
      <c r="M19" s="188"/>
      <c r="N19" s="294"/>
      <c r="P19" s="190"/>
      <c r="Q19" s="190"/>
      <c r="R19" s="190"/>
      <c r="T19" s="190"/>
      <c r="U19" s="191"/>
      <c r="V19" s="188"/>
      <c r="W19" s="188"/>
      <c r="X19" s="294"/>
      <c r="Z19" s="190"/>
      <c r="AA19" s="190"/>
      <c r="AB19" s="190"/>
      <c r="AD19" s="190"/>
      <c r="AE19" s="190"/>
      <c r="AF19" s="412"/>
      <c r="AG19" s="412"/>
      <c r="AH19" s="412"/>
      <c r="AI19" s="412"/>
      <c r="AJ19" s="412"/>
      <c r="AK19" s="412"/>
      <c r="AL19" s="412"/>
      <c r="AM19" s="412"/>
      <c r="AN19" s="188"/>
      <c r="AO19" s="256"/>
      <c r="AR19" s="412"/>
      <c r="AS19" s="412"/>
      <c r="AT19" s="257"/>
      <c r="AX19" s="8"/>
      <c r="BF19" s="1"/>
    </row>
    <row r="20" spans="1:59" s="189" customFormat="1" ht="45" customHeight="1" x14ac:dyDescent="0.3">
      <c r="A20" s="241"/>
      <c r="C20" s="8"/>
      <c r="D20" s="8"/>
      <c r="H20" s="190"/>
      <c r="J20" s="190"/>
      <c r="P20" s="190"/>
      <c r="Q20" s="190"/>
      <c r="R20" s="190"/>
      <c r="T20" s="190"/>
      <c r="U20" s="8"/>
      <c r="Z20" s="190"/>
      <c r="AA20" s="190"/>
      <c r="AB20" s="190"/>
      <c r="AD20" s="190"/>
      <c r="AE20" s="190"/>
      <c r="AF20" s="192"/>
      <c r="AL20" s="188"/>
      <c r="AM20" s="193"/>
      <c r="AN20" s="188"/>
      <c r="AO20" s="256"/>
      <c r="BE20" s="219"/>
      <c r="BF20" s="1"/>
      <c r="BG20" s="258"/>
    </row>
    <row r="21" spans="1:59" s="142" customFormat="1" x14ac:dyDescent="0.3">
      <c r="A21" s="251"/>
      <c r="B21" s="405"/>
      <c r="C21" s="405"/>
      <c r="D21" s="405"/>
      <c r="E21" s="405"/>
      <c r="F21" s="405"/>
      <c r="G21" s="405"/>
      <c r="H21" s="405"/>
      <c r="I21" s="405"/>
      <c r="J21" s="405"/>
      <c r="K21" s="259"/>
      <c r="L21" s="259"/>
      <c r="M21" s="259"/>
      <c r="N21" s="255" t="s">
        <v>147</v>
      </c>
      <c r="O21" s="255"/>
      <c r="P21" s="255"/>
      <c r="Q21" s="255"/>
      <c r="R21" s="255"/>
      <c r="S21" s="255"/>
      <c r="T21" s="252"/>
      <c r="U21" s="260"/>
      <c r="V21" s="259"/>
      <c r="W21" s="259"/>
      <c r="X21" s="289"/>
      <c r="Z21" s="252"/>
      <c r="AA21" s="252"/>
      <c r="AB21" s="252"/>
      <c r="AD21" s="252"/>
      <c r="AE21" s="252"/>
      <c r="AF21" s="261"/>
      <c r="AG21" s="337" t="s">
        <v>147</v>
      </c>
      <c r="AH21" s="337"/>
      <c r="AI21" s="337"/>
      <c r="AJ21" s="337"/>
      <c r="AK21" s="337"/>
      <c r="AL21" s="337"/>
      <c r="AM21" s="262"/>
      <c r="AN21" s="259"/>
      <c r="AO21" s="254"/>
      <c r="AQ21" s="255"/>
      <c r="AR21" s="255"/>
      <c r="AS21" s="255"/>
      <c r="AT21" s="255"/>
      <c r="AU21" s="255" t="s">
        <v>228</v>
      </c>
      <c r="AV21" s="255"/>
      <c r="AW21" s="255"/>
      <c r="AX21" s="255"/>
      <c r="BE21" s="98"/>
      <c r="BF21" s="1"/>
    </row>
    <row r="22" spans="1:59" s="189" customFormat="1" x14ac:dyDescent="0.3">
      <c r="A22" s="241"/>
      <c r="B22" s="142"/>
      <c r="C22" s="253"/>
      <c r="D22" s="253"/>
      <c r="E22" s="142"/>
      <c r="F22" s="142"/>
      <c r="G22" s="142"/>
      <c r="H22" s="252"/>
      <c r="I22" s="142"/>
      <c r="J22" s="252"/>
      <c r="K22" s="142"/>
      <c r="L22" s="142"/>
      <c r="M22" s="142"/>
      <c r="N22" s="142"/>
      <c r="O22" s="142"/>
      <c r="P22" s="252"/>
      <c r="Q22" s="252"/>
      <c r="R22" s="252"/>
      <c r="S22" s="142"/>
      <c r="T22" s="252"/>
      <c r="U22" s="253"/>
      <c r="V22" s="142"/>
      <c r="W22" s="142"/>
      <c r="X22" s="142"/>
      <c r="Y22" s="142"/>
      <c r="Z22" s="252"/>
      <c r="AA22" s="252"/>
      <c r="AB22" s="252"/>
      <c r="AC22" s="142"/>
      <c r="AD22" s="252"/>
      <c r="AE22" s="252"/>
      <c r="AF22" s="261"/>
      <c r="AG22" s="252"/>
      <c r="AH22" s="259"/>
      <c r="AI22" s="259"/>
      <c r="AJ22" s="259"/>
      <c r="AK22" s="259"/>
      <c r="AL22" s="259"/>
      <c r="AM22" s="262"/>
      <c r="AN22" s="259"/>
      <c r="AO22" s="194"/>
      <c r="BE22" s="98"/>
      <c r="BF22" s="1"/>
    </row>
    <row r="23" spans="1:59" s="189" customFormat="1" x14ac:dyDescent="0.3">
      <c r="A23" s="241"/>
      <c r="C23" s="8"/>
      <c r="D23" s="8"/>
      <c r="J23" s="190"/>
      <c r="T23" s="190"/>
      <c r="U23" s="8"/>
      <c r="AD23" s="190"/>
      <c r="AE23" s="190"/>
      <c r="AF23" s="192"/>
      <c r="AG23" s="190"/>
      <c r="AM23" s="194"/>
      <c r="AO23" s="194"/>
      <c r="BE23" s="98"/>
      <c r="BF23" s="1"/>
    </row>
    <row r="24" spans="1:59" s="189" customFormat="1" x14ac:dyDescent="0.3">
      <c r="A24" s="241"/>
      <c r="C24" s="8"/>
      <c r="D24" s="8"/>
      <c r="H24" s="190"/>
      <c r="J24" s="190"/>
      <c r="P24" s="190"/>
      <c r="Q24" s="190"/>
      <c r="R24" s="190"/>
      <c r="T24" s="190"/>
      <c r="U24" s="8"/>
      <c r="Z24" s="190"/>
      <c r="AA24" s="190"/>
      <c r="AB24" s="190"/>
      <c r="AD24" s="190"/>
      <c r="AE24" s="190"/>
      <c r="AF24" s="192"/>
      <c r="AG24" s="190"/>
      <c r="AH24" s="188"/>
      <c r="AI24" s="188"/>
      <c r="AJ24" s="188"/>
      <c r="AK24" s="188"/>
      <c r="AL24" s="188"/>
      <c r="AM24" s="193"/>
      <c r="AN24" s="188"/>
      <c r="AO24" s="194"/>
      <c r="BE24" s="45"/>
      <c r="BF24" s="1"/>
    </row>
    <row r="25" spans="1:59" x14ac:dyDescent="0.3">
      <c r="BE25" s="415"/>
    </row>
    <row r="26" spans="1:59" x14ac:dyDescent="0.3">
      <c r="BE26" s="415"/>
    </row>
    <row r="27" spans="1:59" x14ac:dyDescent="0.3">
      <c r="BE27" s="415"/>
      <c r="BF27" s="264"/>
    </row>
    <row r="28" spans="1:59" x14ac:dyDescent="0.3">
      <c r="BE28" s="415"/>
    </row>
    <row r="29" spans="1:59" ht="19.5" customHeight="1" x14ac:dyDescent="0.3">
      <c r="BE29" s="415"/>
    </row>
    <row r="30" spans="1:59" ht="19.5" customHeight="1" x14ac:dyDescent="0.3">
      <c r="BE30" s="415"/>
    </row>
    <row r="31" spans="1:59" x14ac:dyDescent="0.3">
      <c r="BE31" s="415"/>
    </row>
    <row r="32" spans="1:59" x14ac:dyDescent="0.3">
      <c r="BE32" s="415"/>
    </row>
    <row r="33" spans="57:57" x14ac:dyDescent="0.3">
      <c r="BE33" s="415"/>
    </row>
    <row r="34" spans="57:57" x14ac:dyDescent="0.3">
      <c r="BE34" s="415"/>
    </row>
    <row r="35" spans="57:57" x14ac:dyDescent="0.3">
      <c r="BE35" s="265"/>
    </row>
    <row r="36" spans="57:57" x14ac:dyDescent="0.3">
      <c r="BE36" s="265"/>
    </row>
    <row r="37" spans="57:57" x14ac:dyDescent="0.3">
      <c r="BE37" s="265"/>
    </row>
    <row r="38" spans="57:57" x14ac:dyDescent="0.3">
      <c r="BE38" s="415"/>
    </row>
    <row r="39" spans="57:57" x14ac:dyDescent="0.3">
      <c r="BE39" s="415"/>
    </row>
    <row r="40" spans="57:57" x14ac:dyDescent="0.3">
      <c r="BE40" s="415"/>
    </row>
    <row r="41" spans="57:57" x14ac:dyDescent="0.3">
      <c r="BE41" s="415"/>
    </row>
    <row r="42" spans="57:57" x14ac:dyDescent="0.3">
      <c r="BE42" s="415"/>
    </row>
    <row r="43" spans="57:57" x14ac:dyDescent="0.3">
      <c r="BE43" s="415"/>
    </row>
    <row r="44" spans="57:57" x14ac:dyDescent="0.3">
      <c r="BE44" s="415"/>
    </row>
    <row r="45" spans="57:57" x14ac:dyDescent="0.3">
      <c r="BE45" s="415"/>
    </row>
    <row r="46" spans="57:57" x14ac:dyDescent="0.3">
      <c r="BE46" s="415"/>
    </row>
    <row r="47" spans="57:57" x14ac:dyDescent="0.3">
      <c r="BE47" s="415"/>
    </row>
    <row r="48" spans="57:57" x14ac:dyDescent="0.3">
      <c r="BE48" s="415"/>
    </row>
    <row r="49" spans="1:58" x14ac:dyDescent="0.3">
      <c r="BE49" s="415"/>
    </row>
    <row r="50" spans="1:58" x14ac:dyDescent="0.3">
      <c r="BE50" s="415"/>
    </row>
    <row r="51" spans="1:58" x14ac:dyDescent="0.3">
      <c r="BE51" s="415"/>
    </row>
    <row r="52" spans="1:58" x14ac:dyDescent="0.3">
      <c r="BE52" s="415"/>
    </row>
    <row r="53" spans="1:58" x14ac:dyDescent="0.3">
      <c r="BE53" s="415"/>
    </row>
    <row r="54" spans="1:58" x14ac:dyDescent="0.3">
      <c r="BE54" s="415"/>
    </row>
    <row r="55" spans="1:58" x14ac:dyDescent="0.3">
      <c r="BE55" s="415"/>
    </row>
    <row r="56" spans="1:58" x14ac:dyDescent="0.3">
      <c r="BE56" s="415"/>
    </row>
    <row r="57" spans="1:58" s="189" customFormat="1" x14ac:dyDescent="0.3">
      <c r="A57" s="389" t="s">
        <v>28</v>
      </c>
      <c r="B57" s="389"/>
      <c r="C57" s="389"/>
      <c r="D57" s="389"/>
      <c r="E57" s="389"/>
      <c r="F57" s="389"/>
      <c r="G57" s="389"/>
      <c r="H57" s="389"/>
      <c r="I57" s="389"/>
      <c r="J57" s="389"/>
      <c r="K57" s="188"/>
      <c r="L57" s="188"/>
      <c r="M57" s="188"/>
      <c r="N57" s="188"/>
      <c r="O57" s="188"/>
      <c r="P57" s="188"/>
      <c r="Q57" s="188"/>
      <c r="R57" s="188"/>
      <c r="T57" s="190"/>
      <c r="U57" s="191"/>
      <c r="V57" s="188"/>
      <c r="W57" s="188"/>
      <c r="X57" s="188"/>
      <c r="Y57" s="188"/>
      <c r="Z57" s="188"/>
      <c r="AA57" s="188"/>
      <c r="AB57" s="188"/>
      <c r="AD57" s="190"/>
      <c r="AE57" s="190"/>
      <c r="AF57" s="192"/>
      <c r="AG57" s="190"/>
      <c r="AH57" s="188"/>
      <c r="AI57" s="188"/>
      <c r="AJ57" s="188"/>
      <c r="AK57" s="188"/>
      <c r="AL57" s="188"/>
      <c r="AM57" s="193"/>
      <c r="AN57" s="188"/>
      <c r="AO57" s="194"/>
      <c r="AX57" s="289"/>
      <c r="BE57" s="415"/>
      <c r="BF57" s="3"/>
    </row>
    <row r="58" spans="1:58" s="189" customFormat="1" x14ac:dyDescent="0.3">
      <c r="A58" s="390" t="s">
        <v>30</v>
      </c>
      <c r="B58" s="390"/>
      <c r="C58" s="390"/>
      <c r="D58" s="390"/>
      <c r="E58" s="390"/>
      <c r="F58" s="390"/>
      <c r="G58" s="390"/>
      <c r="H58" s="390"/>
      <c r="I58" s="390"/>
      <c r="J58" s="390"/>
      <c r="K58" s="188"/>
      <c r="L58" s="188"/>
      <c r="M58" s="188"/>
      <c r="N58" s="188"/>
      <c r="O58" s="188"/>
      <c r="P58" s="188"/>
      <c r="Q58" s="188"/>
      <c r="R58" s="188"/>
      <c r="T58" s="190"/>
      <c r="U58" s="191"/>
      <c r="V58" s="188"/>
      <c r="W58" s="188"/>
      <c r="X58" s="188"/>
      <c r="Y58" s="188"/>
      <c r="Z58" s="188"/>
      <c r="AA58" s="188"/>
      <c r="AB58" s="188"/>
      <c r="AD58" s="190"/>
      <c r="AE58" s="190"/>
      <c r="AF58" s="192"/>
      <c r="AG58" s="190"/>
      <c r="AH58" s="188"/>
      <c r="AI58" s="188"/>
      <c r="AJ58" s="188"/>
      <c r="AK58" s="188"/>
      <c r="AL58" s="188"/>
      <c r="AM58" s="193"/>
      <c r="AN58" s="188"/>
      <c r="AO58" s="194"/>
      <c r="BE58" s="415"/>
      <c r="BF58" s="3"/>
    </row>
    <row r="59" spans="1:58" s="195" customFormat="1" ht="63.75" customHeight="1" x14ac:dyDescent="0.3">
      <c r="A59" s="391" t="s">
        <v>260</v>
      </c>
      <c r="B59" s="391"/>
      <c r="C59" s="391"/>
      <c r="D59" s="391"/>
      <c r="E59" s="391"/>
      <c r="F59" s="391"/>
      <c r="G59" s="391"/>
      <c r="H59" s="391"/>
      <c r="I59" s="391"/>
      <c r="J59" s="391"/>
      <c r="K59" s="391"/>
      <c r="L59" s="391"/>
      <c r="M59" s="391"/>
      <c r="N59" s="391"/>
      <c r="O59" s="391"/>
      <c r="P59" s="391"/>
      <c r="Q59" s="391"/>
      <c r="R59" s="391"/>
      <c r="S59" s="391"/>
      <c r="T59" s="391"/>
      <c r="U59" s="391"/>
      <c r="V59" s="391"/>
      <c r="W59" s="391"/>
      <c r="X59" s="391"/>
      <c r="Y59" s="391"/>
      <c r="Z59" s="391"/>
      <c r="AA59" s="391"/>
      <c r="AB59" s="391"/>
      <c r="AC59" s="391"/>
      <c r="AD59" s="391"/>
      <c r="AE59" s="391"/>
      <c r="AF59" s="391"/>
      <c r="AG59" s="391"/>
      <c r="AH59" s="391"/>
      <c r="AI59" s="391"/>
      <c r="AJ59" s="391"/>
      <c r="AK59" s="391"/>
      <c r="AL59" s="391"/>
      <c r="AM59" s="391"/>
      <c r="AN59" s="391"/>
      <c r="AO59" s="391"/>
      <c r="AP59" s="391"/>
      <c r="AQ59" s="391"/>
      <c r="AR59" s="391"/>
      <c r="AS59" s="391"/>
      <c r="AT59" s="391"/>
      <c r="AU59" s="391"/>
      <c r="AV59" s="391"/>
      <c r="AW59" s="391"/>
      <c r="AX59" s="391"/>
      <c r="AY59" s="391"/>
      <c r="AZ59" s="295"/>
      <c r="BA59" s="295"/>
      <c r="BB59" s="295" t="s">
        <v>239</v>
      </c>
      <c r="BC59" s="295"/>
      <c r="BD59" s="295"/>
      <c r="BE59" s="415"/>
      <c r="BF59" s="3"/>
    </row>
    <row r="60" spans="1:58" s="198" customFormat="1" ht="20.25" customHeight="1" x14ac:dyDescent="0.2">
      <c r="A60" s="392" t="s">
        <v>240</v>
      </c>
      <c r="B60" s="392" t="s">
        <v>31</v>
      </c>
      <c r="C60" s="387" t="s">
        <v>32</v>
      </c>
      <c r="D60" s="394" t="s">
        <v>241</v>
      </c>
      <c r="E60" s="395"/>
      <c r="F60" s="395"/>
      <c r="G60" s="395"/>
      <c r="H60" s="395"/>
      <c r="I60" s="395"/>
      <c r="J60" s="395"/>
      <c r="K60" s="396"/>
      <c r="L60" s="394" t="s">
        <v>242</v>
      </c>
      <c r="M60" s="395"/>
      <c r="N60" s="395"/>
      <c r="O60" s="395"/>
      <c r="P60" s="395"/>
      <c r="Q60" s="395"/>
      <c r="R60" s="395"/>
      <c r="S60" s="395"/>
      <c r="T60" s="395"/>
      <c r="U60" s="396"/>
      <c r="V60" s="397" t="s">
        <v>243</v>
      </c>
      <c r="W60" s="398"/>
      <c r="X60" s="398"/>
      <c r="Y60" s="398"/>
      <c r="Z60" s="398"/>
      <c r="AA60" s="398"/>
      <c r="AB60" s="398"/>
      <c r="AC60" s="398"/>
      <c r="AD60" s="398"/>
      <c r="AE60" s="399"/>
      <c r="AF60" s="400" t="s">
        <v>244</v>
      </c>
      <c r="AG60" s="384" t="s">
        <v>245</v>
      </c>
      <c r="AH60" s="406" t="s">
        <v>246</v>
      </c>
      <c r="AI60" s="407" t="s">
        <v>247</v>
      </c>
      <c r="AJ60" s="407" t="s">
        <v>248</v>
      </c>
      <c r="AK60" s="407" t="s">
        <v>249</v>
      </c>
      <c r="AL60" s="388" t="s">
        <v>250</v>
      </c>
      <c r="AM60" s="387" t="s">
        <v>251</v>
      </c>
      <c r="AN60" s="388" t="s">
        <v>246</v>
      </c>
      <c r="AO60" s="408" t="s">
        <v>52</v>
      </c>
      <c r="AP60" s="387" t="s">
        <v>252</v>
      </c>
      <c r="AQ60" s="403" t="s">
        <v>40</v>
      </c>
      <c r="AR60" s="403"/>
      <c r="AS60" s="403" t="s">
        <v>41</v>
      </c>
      <c r="AT60" s="403"/>
      <c r="AU60" s="403" t="s">
        <v>42</v>
      </c>
      <c r="AV60" s="403"/>
      <c r="AW60" s="403" t="s">
        <v>43</v>
      </c>
      <c r="AX60" s="387" t="s">
        <v>46</v>
      </c>
      <c r="AY60" s="387" t="s">
        <v>47</v>
      </c>
      <c r="AZ60" s="196"/>
      <c r="BA60" s="196"/>
      <c r="BB60" s="197"/>
      <c r="BC60" s="197"/>
      <c r="BD60" s="197"/>
      <c r="BE60" s="415"/>
      <c r="BF60" s="3"/>
    </row>
    <row r="61" spans="1:58" s="201" customFormat="1" ht="25.5" customHeight="1" x14ac:dyDescent="0.2">
      <c r="A61" s="393"/>
      <c r="B61" s="392"/>
      <c r="C61" s="387"/>
      <c r="D61" s="384" t="s">
        <v>33</v>
      </c>
      <c r="E61" s="384" t="s">
        <v>34</v>
      </c>
      <c r="F61" s="384" t="s">
        <v>34</v>
      </c>
      <c r="G61" s="394" t="s">
        <v>35</v>
      </c>
      <c r="H61" s="396"/>
      <c r="I61" s="384" t="s">
        <v>35</v>
      </c>
      <c r="J61" s="384"/>
      <c r="K61" s="384" t="s">
        <v>253</v>
      </c>
      <c r="L61" s="384" t="s">
        <v>33</v>
      </c>
      <c r="M61" s="384" t="s">
        <v>34</v>
      </c>
      <c r="N61" s="384" t="s">
        <v>34</v>
      </c>
      <c r="O61" s="384" t="s">
        <v>35</v>
      </c>
      <c r="P61" s="384"/>
      <c r="Q61" s="384" t="s">
        <v>35</v>
      </c>
      <c r="R61" s="384"/>
      <c r="S61" s="384" t="s">
        <v>35</v>
      </c>
      <c r="T61" s="384"/>
      <c r="U61" s="384" t="s">
        <v>253</v>
      </c>
      <c r="V61" s="384" t="s">
        <v>33</v>
      </c>
      <c r="W61" s="385" t="s">
        <v>34</v>
      </c>
      <c r="X61" s="384" t="s">
        <v>34</v>
      </c>
      <c r="Y61" s="384" t="s">
        <v>35</v>
      </c>
      <c r="Z61" s="384"/>
      <c r="AA61" s="296"/>
      <c r="AB61" s="296"/>
      <c r="AC61" s="199" t="s">
        <v>35</v>
      </c>
      <c r="AD61" s="199"/>
      <c r="AE61" s="199"/>
      <c r="AF61" s="401"/>
      <c r="AG61" s="384"/>
      <c r="AH61" s="406"/>
      <c r="AI61" s="407"/>
      <c r="AJ61" s="407"/>
      <c r="AK61" s="407"/>
      <c r="AL61" s="388"/>
      <c r="AM61" s="387"/>
      <c r="AN61" s="388"/>
      <c r="AO61" s="408"/>
      <c r="AP61" s="387"/>
      <c r="AQ61" s="403"/>
      <c r="AR61" s="403"/>
      <c r="AS61" s="403"/>
      <c r="AT61" s="403"/>
      <c r="AU61" s="403"/>
      <c r="AV61" s="403"/>
      <c r="AW61" s="403"/>
      <c r="AX61" s="387"/>
      <c r="AY61" s="387"/>
      <c r="AZ61" s="298"/>
      <c r="BA61" s="298"/>
      <c r="BB61" s="200"/>
      <c r="BC61" s="200"/>
      <c r="BD61" s="200"/>
      <c r="BE61" s="288"/>
      <c r="BF61" s="3"/>
    </row>
    <row r="62" spans="1:58" s="207" customFormat="1" ht="72.75" customHeight="1" x14ac:dyDescent="0.2">
      <c r="A62" s="393"/>
      <c r="B62" s="392"/>
      <c r="C62" s="387"/>
      <c r="D62" s="404"/>
      <c r="E62" s="404"/>
      <c r="F62" s="404"/>
      <c r="G62" s="297" t="s">
        <v>48</v>
      </c>
      <c r="H62" s="202" t="s">
        <v>254</v>
      </c>
      <c r="I62" s="297" t="s">
        <v>48</v>
      </c>
      <c r="J62" s="202" t="s">
        <v>255</v>
      </c>
      <c r="K62" s="404"/>
      <c r="L62" s="404"/>
      <c r="M62" s="404"/>
      <c r="N62" s="404"/>
      <c r="O62" s="297" t="s">
        <v>48</v>
      </c>
      <c r="P62" s="202" t="s">
        <v>49</v>
      </c>
      <c r="Q62" s="297" t="s">
        <v>48</v>
      </c>
      <c r="R62" s="202" t="s">
        <v>49</v>
      </c>
      <c r="S62" s="297" t="s">
        <v>48</v>
      </c>
      <c r="T62" s="202" t="s">
        <v>50</v>
      </c>
      <c r="U62" s="404"/>
      <c r="V62" s="404"/>
      <c r="W62" s="386"/>
      <c r="X62" s="404"/>
      <c r="Y62" s="297" t="s">
        <v>48</v>
      </c>
      <c r="Z62" s="202" t="s">
        <v>49</v>
      </c>
      <c r="AA62" s="203" t="s">
        <v>48</v>
      </c>
      <c r="AB62" s="204" t="s">
        <v>256</v>
      </c>
      <c r="AC62" s="203" t="s">
        <v>48</v>
      </c>
      <c r="AD62" s="204" t="s">
        <v>50</v>
      </c>
      <c r="AE62" s="205" t="s">
        <v>253</v>
      </c>
      <c r="AF62" s="402"/>
      <c r="AG62" s="384"/>
      <c r="AH62" s="406"/>
      <c r="AI62" s="407"/>
      <c r="AJ62" s="407"/>
      <c r="AK62" s="407"/>
      <c r="AL62" s="388"/>
      <c r="AM62" s="387"/>
      <c r="AN62" s="388"/>
      <c r="AO62" s="408"/>
      <c r="AP62" s="387"/>
      <c r="AQ62" s="296" t="s">
        <v>68</v>
      </c>
      <c r="AR62" s="296" t="s">
        <v>53</v>
      </c>
      <c r="AS62" s="296" t="s">
        <v>54</v>
      </c>
      <c r="AT62" s="296" t="s">
        <v>55</v>
      </c>
      <c r="AU62" s="296" t="s">
        <v>56</v>
      </c>
      <c r="AV62" s="296" t="s">
        <v>57</v>
      </c>
      <c r="AW62" s="296" t="s">
        <v>58</v>
      </c>
      <c r="AX62" s="387"/>
      <c r="AY62" s="387"/>
      <c r="AZ62" s="298"/>
      <c r="BA62" s="298"/>
      <c r="BB62" s="200"/>
      <c r="BC62" s="200"/>
      <c r="BD62" s="200"/>
      <c r="BE62" s="287"/>
      <c r="BF62" s="206"/>
    </row>
    <row r="63" spans="1:58" s="210" customFormat="1" ht="11.25" customHeight="1" x14ac:dyDescent="0.2">
      <c r="A63" s="291" t="s">
        <v>1</v>
      </c>
      <c r="B63" s="291" t="s">
        <v>2</v>
      </c>
      <c r="C63" s="291" t="s">
        <v>59</v>
      </c>
      <c r="D63" s="291">
        <v>1</v>
      </c>
      <c r="E63" s="291">
        <v>2</v>
      </c>
      <c r="F63" s="291">
        <v>2</v>
      </c>
      <c r="G63" s="413">
        <v>3</v>
      </c>
      <c r="H63" s="414"/>
      <c r="I63" s="409">
        <v>3</v>
      </c>
      <c r="J63" s="409"/>
      <c r="K63" s="291">
        <v>4</v>
      </c>
      <c r="L63" s="291">
        <v>5</v>
      </c>
      <c r="M63" s="291">
        <v>2</v>
      </c>
      <c r="N63" s="291">
        <v>6</v>
      </c>
      <c r="O63" s="409">
        <v>3</v>
      </c>
      <c r="P63" s="409"/>
      <c r="Q63" s="291"/>
      <c r="R63" s="291"/>
      <c r="S63" s="409">
        <v>7</v>
      </c>
      <c r="T63" s="409"/>
      <c r="U63" s="291">
        <v>8</v>
      </c>
      <c r="V63" s="291">
        <v>9</v>
      </c>
      <c r="W63" s="291">
        <v>2</v>
      </c>
      <c r="X63" s="291"/>
      <c r="Y63" s="409">
        <v>3</v>
      </c>
      <c r="Z63" s="409"/>
      <c r="AA63" s="291"/>
      <c r="AB63" s="291"/>
      <c r="AC63" s="409">
        <v>10</v>
      </c>
      <c r="AD63" s="409"/>
      <c r="AE63" s="208">
        <v>11</v>
      </c>
      <c r="AF63" s="291">
        <v>12</v>
      </c>
      <c r="AG63" s="208">
        <v>13</v>
      </c>
      <c r="AH63" s="291">
        <v>14</v>
      </c>
      <c r="AI63" s="208">
        <v>15</v>
      </c>
      <c r="AJ63" s="291">
        <v>16</v>
      </c>
      <c r="AK63" s="291"/>
      <c r="AL63" s="208">
        <v>17</v>
      </c>
      <c r="AM63" s="291">
        <v>18</v>
      </c>
      <c r="AN63" s="208">
        <v>19</v>
      </c>
      <c r="AO63" s="291">
        <v>20</v>
      </c>
      <c r="AP63" s="208">
        <v>21</v>
      </c>
      <c r="AQ63" s="291">
        <v>22</v>
      </c>
      <c r="AR63" s="208">
        <v>23</v>
      </c>
      <c r="AS63" s="291">
        <v>24</v>
      </c>
      <c r="AT63" s="208">
        <v>25</v>
      </c>
      <c r="AU63" s="291">
        <v>26</v>
      </c>
      <c r="AV63" s="208">
        <v>27</v>
      </c>
      <c r="AW63" s="291">
        <v>28</v>
      </c>
      <c r="AX63" s="291">
        <v>32</v>
      </c>
      <c r="AY63" s="291" t="s">
        <v>60</v>
      </c>
      <c r="AZ63" s="209"/>
      <c r="BA63" s="209"/>
      <c r="BB63" s="209"/>
      <c r="BC63" s="209"/>
      <c r="BD63" s="209"/>
      <c r="BE63" s="292"/>
      <c r="BF63" s="3"/>
    </row>
    <row r="64" spans="1:58" s="220" customFormat="1" ht="20.25" customHeight="1" x14ac:dyDescent="0.3">
      <c r="A64" s="293" t="s">
        <v>61</v>
      </c>
      <c r="B64" s="211" t="s">
        <v>62</v>
      </c>
      <c r="C64" s="211"/>
      <c r="D64" s="212"/>
      <c r="E64" s="212"/>
      <c r="F64" s="212"/>
      <c r="G64" s="211"/>
      <c r="H64" s="213"/>
      <c r="I64" s="211"/>
      <c r="J64" s="214"/>
      <c r="K64" s="214"/>
      <c r="L64" s="215"/>
      <c r="M64" s="214"/>
      <c r="N64" s="214"/>
      <c r="O64" s="214"/>
      <c r="P64" s="214"/>
      <c r="Q64" s="214"/>
      <c r="R64" s="214"/>
      <c r="S64" s="211"/>
      <c r="T64" s="214"/>
      <c r="U64" s="214"/>
      <c r="V64" s="212"/>
      <c r="W64" s="211"/>
      <c r="X64" s="212"/>
      <c r="Y64" s="211"/>
      <c r="Z64" s="213"/>
      <c r="AA64" s="213"/>
      <c r="AB64" s="213"/>
      <c r="AC64" s="211"/>
      <c r="AD64" s="214"/>
      <c r="AE64" s="214"/>
      <c r="AF64" s="214"/>
      <c r="AG64" s="214"/>
      <c r="AH64" s="216"/>
      <c r="AI64" s="216"/>
      <c r="AJ64" s="216"/>
      <c r="AK64" s="216"/>
      <c r="AL64" s="216"/>
      <c r="AM64" s="217"/>
      <c r="AN64" s="216"/>
      <c r="AO64" s="217"/>
      <c r="AP64" s="217"/>
      <c r="AQ64" s="217"/>
      <c r="AR64" s="217"/>
      <c r="AS64" s="217"/>
      <c r="AT64" s="217"/>
      <c r="AU64" s="217"/>
      <c r="AV64" s="217"/>
      <c r="AW64" s="217"/>
      <c r="AX64" s="217"/>
      <c r="AY64" s="217"/>
      <c r="AZ64" s="218"/>
      <c r="BA64" s="218"/>
      <c r="BB64" s="218"/>
      <c r="BC64" s="218"/>
      <c r="BD64" s="218"/>
      <c r="BE64" s="219"/>
      <c r="BF64" s="31"/>
    </row>
    <row r="65" spans="1:59" s="236" customFormat="1" ht="17.25" customHeight="1" x14ac:dyDescent="0.25">
      <c r="A65" s="221">
        <v>1</v>
      </c>
      <c r="B65" s="139" t="s">
        <v>261</v>
      </c>
      <c r="C65" s="139" t="s">
        <v>225</v>
      </c>
      <c r="D65" s="222">
        <v>4.32</v>
      </c>
      <c r="E65" s="223"/>
      <c r="F65" s="223">
        <v>0.5</v>
      </c>
      <c r="G65" s="224"/>
      <c r="H65" s="225"/>
      <c r="I65" s="226">
        <v>0.21</v>
      </c>
      <c r="J65" s="227">
        <f t="shared" ref="J65:J66" si="27">ROUND((D65+F65)*I65,4)</f>
        <v>1.0122</v>
      </c>
      <c r="K65" s="228">
        <f t="shared" ref="K65:K66" si="28">ROUND((D65+F65)*0.5,4)</f>
        <v>2.41</v>
      </c>
      <c r="L65" s="222">
        <v>4.34</v>
      </c>
      <c r="M65" s="223"/>
      <c r="N65" s="223">
        <v>0.5</v>
      </c>
      <c r="O65" s="224"/>
      <c r="P65" s="225"/>
      <c r="Q65" s="226"/>
      <c r="R65" s="225"/>
      <c r="S65" s="226">
        <v>0.21</v>
      </c>
      <c r="T65" s="227">
        <f t="shared" ref="T65:T66" si="29">ROUND((L65+N65)*S65,4)</f>
        <v>1.0164</v>
      </c>
      <c r="U65" s="266">
        <f t="shared" ref="U65:U66" si="30">ROUND((L65+N65+R65)*0.5,4)</f>
        <v>2.42</v>
      </c>
      <c r="V65" s="223">
        <f t="shared" ref="V65:V66" si="31">L65-D65</f>
        <v>1.9999999999999574E-2</v>
      </c>
      <c r="W65" s="223"/>
      <c r="X65" s="223"/>
      <c r="Y65" s="224"/>
      <c r="Z65" s="225"/>
      <c r="AA65" s="225"/>
      <c r="AB65" s="225"/>
      <c r="AC65" s="226"/>
      <c r="AD65" s="227">
        <f t="shared" ref="AD65:AD66" si="32">ROUND((T65-J65),4)</f>
        <v>4.1999999999999997E-3</v>
      </c>
      <c r="AE65" s="227">
        <f t="shared" ref="AE65:AE66" si="33">U65-K65</f>
        <v>9.9999999999997868E-3</v>
      </c>
      <c r="AF65" s="227" t="s">
        <v>262</v>
      </c>
      <c r="AG65" s="229">
        <v>1</v>
      </c>
      <c r="AH65" s="227"/>
      <c r="AI65" s="227">
        <f t="shared" ref="AI65:AI66" si="34">(V65+AB65)*AG65</f>
        <v>1.9999999999999574E-2</v>
      </c>
      <c r="AJ65" s="227">
        <f t="shared" ref="AJ65:AJ66" si="35">(AD65)*AG65</f>
        <v>4.1999999999999997E-3</v>
      </c>
      <c r="AK65" s="229">
        <f t="shared" ref="AK65:AK66" si="36">AB65*AG65</f>
        <v>0</v>
      </c>
      <c r="AL65" s="227">
        <f t="shared" ref="AL65:AL66" si="37">AI65+AJ65+AK65</f>
        <v>2.4199999999999573E-2</v>
      </c>
      <c r="AM65" s="267">
        <f t="shared" ref="AM65:AM66" si="38">ROUND(AL65*1800000,0)</f>
        <v>43560</v>
      </c>
      <c r="AN65" s="227">
        <f t="shared" ref="AN65:AN66" si="39">ROUND(AE65*AG65,4)</f>
        <v>0.01</v>
      </c>
      <c r="AO65" s="267">
        <f t="shared" ref="AO65:AO66" si="40">ROUND((AN65*1800000),0)</f>
        <v>18000</v>
      </c>
      <c r="AP65" s="232">
        <f t="shared" ref="AP65:AP66" si="41">ROUND((AM65*0.5/100),0)</f>
        <v>218</v>
      </c>
      <c r="AQ65" s="232">
        <f t="shared" ref="AQ65:AQ66" si="42">ROUND((AM65*17/100),0)</f>
        <v>7405</v>
      </c>
      <c r="AR65" s="232">
        <f t="shared" ref="AR65:AR66" si="43">ROUND((AM65*8/100),0)</f>
        <v>3485</v>
      </c>
      <c r="AS65" s="232">
        <f t="shared" ref="AS65:AS66" si="44">ROUND((AM65*3/100),0)</f>
        <v>1307</v>
      </c>
      <c r="AT65" s="232">
        <f t="shared" ref="AT65:AT66" si="45">ROUND((AM65*1.5/100),0)</f>
        <v>653</v>
      </c>
      <c r="AU65" s="232">
        <f t="shared" ref="AU65:AU66" si="46">ROUND((AM65/100),0)</f>
        <v>436</v>
      </c>
      <c r="AV65" s="232">
        <f t="shared" ref="AV65:AV66" si="47">ROUND((AM65/100),0)</f>
        <v>436</v>
      </c>
      <c r="AW65" s="232">
        <f t="shared" ref="AW65:AW66" si="48">AM65*2/100</f>
        <v>871.2</v>
      </c>
      <c r="AX65" s="232">
        <f t="shared" ref="AX65:AX66" si="49">ROUND((AM65+AO65-AR65-AT65-AV65),0)</f>
        <v>56986</v>
      </c>
      <c r="AY65" s="233"/>
      <c r="AZ65" s="140">
        <f>AX65+AX66</f>
        <v>286220</v>
      </c>
      <c r="BA65" s="140"/>
      <c r="BB65" s="140">
        <f t="shared" ref="BB65:BB66" si="50">AX65/5</f>
        <v>11397.2</v>
      </c>
      <c r="BC65" s="140"/>
      <c r="BD65" s="140"/>
      <c r="BE65" s="234"/>
      <c r="BF65" s="235"/>
    </row>
    <row r="66" spans="1:59" s="236" customFormat="1" ht="17.25" customHeight="1" x14ac:dyDescent="0.25">
      <c r="A66" s="221">
        <v>2</v>
      </c>
      <c r="B66" s="139" t="s">
        <v>261</v>
      </c>
      <c r="C66" s="139" t="s">
        <v>225</v>
      </c>
      <c r="D66" s="222">
        <v>4.32</v>
      </c>
      <c r="E66" s="223"/>
      <c r="F66" s="223">
        <v>0.5</v>
      </c>
      <c r="G66" s="224"/>
      <c r="H66" s="225"/>
      <c r="I66" s="226">
        <v>0.22</v>
      </c>
      <c r="J66" s="227">
        <f t="shared" si="27"/>
        <v>1.0604</v>
      </c>
      <c r="K66" s="228">
        <f t="shared" si="28"/>
        <v>2.41</v>
      </c>
      <c r="L66" s="222">
        <v>4.34</v>
      </c>
      <c r="M66" s="223"/>
      <c r="N66" s="223">
        <v>0.5</v>
      </c>
      <c r="O66" s="224"/>
      <c r="P66" s="225"/>
      <c r="Q66" s="226"/>
      <c r="R66" s="225"/>
      <c r="S66" s="226">
        <v>0.22</v>
      </c>
      <c r="T66" s="227">
        <f t="shared" si="29"/>
        <v>1.0648</v>
      </c>
      <c r="U66" s="266">
        <f t="shared" si="30"/>
        <v>2.42</v>
      </c>
      <c r="V66" s="223">
        <f t="shared" si="31"/>
        <v>1.9999999999999574E-2</v>
      </c>
      <c r="W66" s="223"/>
      <c r="X66" s="223"/>
      <c r="Y66" s="224"/>
      <c r="Z66" s="225"/>
      <c r="AA66" s="225"/>
      <c r="AB66" s="225"/>
      <c r="AC66" s="226"/>
      <c r="AD66" s="227">
        <f t="shared" si="32"/>
        <v>4.4000000000000003E-3</v>
      </c>
      <c r="AE66" s="227">
        <f t="shared" si="33"/>
        <v>9.9999999999997868E-3</v>
      </c>
      <c r="AF66" s="227" t="s">
        <v>263</v>
      </c>
      <c r="AG66" s="229">
        <v>4</v>
      </c>
      <c r="AH66" s="227"/>
      <c r="AI66" s="227">
        <f t="shared" si="34"/>
        <v>7.9999999999998295E-2</v>
      </c>
      <c r="AJ66" s="227">
        <f t="shared" si="35"/>
        <v>1.7600000000000001E-2</v>
      </c>
      <c r="AK66" s="229">
        <f t="shared" si="36"/>
        <v>0</v>
      </c>
      <c r="AL66" s="227">
        <f t="shared" si="37"/>
        <v>9.7599999999998299E-2</v>
      </c>
      <c r="AM66" s="267">
        <f t="shared" si="38"/>
        <v>175680</v>
      </c>
      <c r="AN66" s="227">
        <f t="shared" si="39"/>
        <v>0.04</v>
      </c>
      <c r="AO66" s="267">
        <f t="shared" si="40"/>
        <v>72000</v>
      </c>
      <c r="AP66" s="232">
        <f t="shared" si="41"/>
        <v>878</v>
      </c>
      <c r="AQ66" s="232">
        <f t="shared" si="42"/>
        <v>29866</v>
      </c>
      <c r="AR66" s="232">
        <f t="shared" si="43"/>
        <v>14054</v>
      </c>
      <c r="AS66" s="232">
        <f t="shared" si="44"/>
        <v>5270</v>
      </c>
      <c r="AT66" s="232">
        <f t="shared" si="45"/>
        <v>2635</v>
      </c>
      <c r="AU66" s="232">
        <f t="shared" si="46"/>
        <v>1757</v>
      </c>
      <c r="AV66" s="232">
        <f t="shared" si="47"/>
        <v>1757</v>
      </c>
      <c r="AW66" s="232">
        <f t="shared" si="48"/>
        <v>3513.6</v>
      </c>
      <c r="AX66" s="232">
        <f t="shared" si="49"/>
        <v>229234</v>
      </c>
      <c r="AY66" s="233"/>
      <c r="AZ66" s="181"/>
      <c r="BA66" s="140" t="e">
        <f>#REF!-'[1]tinh lai tlinh dung  '!AZ111</f>
        <v>#REF!</v>
      </c>
      <c r="BB66" s="140">
        <f t="shared" si="50"/>
        <v>45846.8</v>
      </c>
      <c r="BC66" s="140"/>
      <c r="BD66" s="140"/>
      <c r="BE66" s="234"/>
      <c r="BF66" s="235"/>
    </row>
    <row r="67" spans="1:59" s="220" customFormat="1" ht="17.25" customHeight="1" x14ac:dyDescent="0.2">
      <c r="A67" s="416" t="s">
        <v>63</v>
      </c>
      <c r="B67" s="416"/>
      <c r="C67" s="211"/>
      <c r="D67" s="237">
        <f>SUM(D65:D66)</f>
        <v>8.64</v>
      </c>
      <c r="E67" s="237">
        <f>SUM(E65:E66)</f>
        <v>0</v>
      </c>
      <c r="F67" s="237">
        <f>SUM(F65:F66)</f>
        <v>1</v>
      </c>
      <c r="G67" s="237">
        <f>SUM(G65:G66)</f>
        <v>0</v>
      </c>
      <c r="H67" s="237"/>
      <c r="I67" s="237"/>
      <c r="J67" s="240">
        <f t="shared" ref="J67:P67" si="51">SUM(J65:J66)</f>
        <v>2.0726</v>
      </c>
      <c r="K67" s="240">
        <f t="shared" si="51"/>
        <v>4.82</v>
      </c>
      <c r="L67" s="237">
        <f t="shared" si="51"/>
        <v>8.68</v>
      </c>
      <c r="M67" s="237">
        <f t="shared" si="51"/>
        <v>0</v>
      </c>
      <c r="N67" s="237">
        <f t="shared" si="51"/>
        <v>1</v>
      </c>
      <c r="O67" s="237">
        <f t="shared" si="51"/>
        <v>0</v>
      </c>
      <c r="P67" s="237">
        <f t="shared" si="51"/>
        <v>0</v>
      </c>
      <c r="Q67" s="237"/>
      <c r="R67" s="237"/>
      <c r="S67" s="237"/>
      <c r="T67" s="240">
        <f t="shared" ref="T67:Z67" si="52">SUM(T65:T66)</f>
        <v>2.0811999999999999</v>
      </c>
      <c r="U67" s="240">
        <f t="shared" si="52"/>
        <v>4.84</v>
      </c>
      <c r="V67" s="240">
        <f t="shared" si="52"/>
        <v>3.9999999999999147E-2</v>
      </c>
      <c r="W67" s="240">
        <f t="shared" si="52"/>
        <v>0</v>
      </c>
      <c r="X67" s="240">
        <f t="shared" si="52"/>
        <v>0</v>
      </c>
      <c r="Y67" s="240">
        <f t="shared" si="52"/>
        <v>0</v>
      </c>
      <c r="Z67" s="240">
        <f t="shared" si="52"/>
        <v>0</v>
      </c>
      <c r="AA67" s="240"/>
      <c r="AB67" s="240"/>
      <c r="AC67" s="240"/>
      <c r="AD67" s="240">
        <f>SUM(AD65:AD66)</f>
        <v>8.6E-3</v>
      </c>
      <c r="AE67" s="240">
        <f>SUM(AE65:AE66)</f>
        <v>1.9999999999999574E-2</v>
      </c>
      <c r="AF67" s="237"/>
      <c r="AG67" s="237"/>
      <c r="AH67" s="237">
        <f t="shared" ref="AH67:AM67" si="53">SUM(AH65:AH66)</f>
        <v>0</v>
      </c>
      <c r="AI67" s="268">
        <f t="shared" si="53"/>
        <v>9.9999999999997868E-2</v>
      </c>
      <c r="AJ67" s="268">
        <f t="shared" si="53"/>
        <v>2.18E-2</v>
      </c>
      <c r="AK67" s="268">
        <f t="shared" si="53"/>
        <v>0</v>
      </c>
      <c r="AL67" s="268">
        <f t="shared" si="53"/>
        <v>0.12179999999999787</v>
      </c>
      <c r="AM67" s="183">
        <f t="shared" si="53"/>
        <v>219240</v>
      </c>
      <c r="AN67" s="269">
        <v>29.27</v>
      </c>
      <c r="AO67" s="141">
        <f t="shared" ref="AO67:BB67" si="54">SUM(AO65:AO66)</f>
        <v>90000</v>
      </c>
      <c r="AP67" s="141">
        <f t="shared" si="54"/>
        <v>1096</v>
      </c>
      <c r="AQ67" s="141">
        <f t="shared" si="54"/>
        <v>37271</v>
      </c>
      <c r="AR67" s="141">
        <f t="shared" si="54"/>
        <v>17539</v>
      </c>
      <c r="AS67" s="141">
        <f t="shared" si="54"/>
        <v>6577</v>
      </c>
      <c r="AT67" s="141">
        <f t="shared" si="54"/>
        <v>3288</v>
      </c>
      <c r="AU67" s="141">
        <f t="shared" si="54"/>
        <v>2193</v>
      </c>
      <c r="AV67" s="141">
        <f t="shared" si="54"/>
        <v>2193</v>
      </c>
      <c r="AW67" s="141">
        <f t="shared" si="54"/>
        <v>4384.8</v>
      </c>
      <c r="AX67" s="141">
        <f t="shared" si="54"/>
        <v>286220</v>
      </c>
      <c r="AY67" s="141">
        <f t="shared" si="54"/>
        <v>0</v>
      </c>
      <c r="AZ67" s="141">
        <f t="shared" si="54"/>
        <v>286220</v>
      </c>
      <c r="BA67" s="141" t="e">
        <f t="shared" si="54"/>
        <v>#REF!</v>
      </c>
      <c r="BB67" s="141">
        <f t="shared" si="54"/>
        <v>57244</v>
      </c>
      <c r="BC67" s="141" t="e">
        <f>#REF!-AX67</f>
        <v>#REF!</v>
      </c>
      <c r="BD67" s="141"/>
      <c r="BE67" s="219"/>
      <c r="BF67" s="127"/>
    </row>
    <row r="68" spans="1:59" s="189" customFormat="1" ht="4.5" customHeight="1" x14ac:dyDescent="0.3">
      <c r="A68" s="241"/>
      <c r="C68" s="8"/>
      <c r="D68" s="8"/>
      <c r="H68" s="190"/>
      <c r="J68" s="190"/>
      <c r="P68" s="190"/>
      <c r="Q68" s="190"/>
      <c r="R68" s="190"/>
      <c r="T68" s="190"/>
      <c r="U68" s="8"/>
      <c r="Z68" s="190"/>
      <c r="AA68" s="190"/>
      <c r="AB68" s="190"/>
      <c r="AD68" s="190"/>
      <c r="AE68" s="190"/>
      <c r="AF68" s="192"/>
      <c r="AG68" s="190"/>
      <c r="AH68" s="188"/>
      <c r="AI68" s="188"/>
      <c r="AJ68" s="188"/>
      <c r="AK68" s="188"/>
      <c r="AL68" s="188"/>
      <c r="AM68" s="193"/>
      <c r="AN68" s="188"/>
      <c r="AO68" s="194"/>
      <c r="AX68" s="242"/>
      <c r="BE68" s="219"/>
      <c r="BF68" s="1"/>
    </row>
    <row r="69" spans="1:59" s="244" customFormat="1" x14ac:dyDescent="0.3">
      <c r="A69" s="410" t="s">
        <v>264</v>
      </c>
      <c r="B69" s="410"/>
      <c r="C69" s="410"/>
      <c r="D69" s="410"/>
      <c r="E69" s="410"/>
      <c r="F69" s="410"/>
      <c r="G69" s="410"/>
      <c r="H69" s="410"/>
      <c r="I69" s="410"/>
      <c r="J69" s="410"/>
      <c r="K69" s="410"/>
      <c r="L69" s="410"/>
      <c r="M69" s="410"/>
      <c r="N69" s="410"/>
      <c r="O69" s="410"/>
      <c r="P69" s="410"/>
      <c r="Q69" s="410"/>
      <c r="R69" s="410"/>
      <c r="S69" s="410"/>
      <c r="T69" s="410"/>
      <c r="U69" s="410"/>
      <c r="V69" s="410"/>
      <c r="W69" s="410"/>
      <c r="X69" s="410"/>
      <c r="Y69" s="410"/>
      <c r="Z69" s="410"/>
      <c r="AA69" s="410"/>
      <c r="AB69" s="410"/>
      <c r="AC69" s="410"/>
      <c r="AD69" s="410"/>
      <c r="AE69" s="410"/>
      <c r="AF69" s="410"/>
      <c r="AG69" s="410"/>
      <c r="AH69" s="410"/>
      <c r="AI69" s="410"/>
      <c r="AJ69" s="410"/>
      <c r="AK69" s="410"/>
      <c r="AL69" s="410"/>
      <c r="AM69" s="410"/>
      <c r="AN69" s="410"/>
      <c r="AO69" s="410"/>
      <c r="AP69" s="410"/>
      <c r="AQ69" s="410"/>
      <c r="AR69" s="410"/>
      <c r="AS69" s="410"/>
      <c r="AT69" s="410"/>
      <c r="AU69" s="410"/>
      <c r="AV69" s="410"/>
      <c r="AW69" s="410"/>
      <c r="AX69" s="243"/>
      <c r="AZ69" s="245"/>
      <c r="BC69" s="45"/>
      <c r="BE69" s="45"/>
      <c r="BF69" s="1"/>
    </row>
    <row r="70" spans="1:59" s="247" customFormat="1" x14ac:dyDescent="0.3">
      <c r="A70" s="246"/>
      <c r="C70" s="8"/>
      <c r="D70" s="8"/>
      <c r="J70" s="248"/>
      <c r="T70" s="248"/>
      <c r="U70" s="8"/>
      <c r="AD70" s="248"/>
      <c r="AE70" s="248"/>
      <c r="AF70" s="192"/>
      <c r="AG70" s="248"/>
      <c r="AM70" s="249"/>
      <c r="AO70" s="249"/>
      <c r="AR70" s="250"/>
      <c r="AT70" s="250" t="s">
        <v>265</v>
      </c>
      <c r="AU70" s="250"/>
      <c r="AV70" s="250"/>
      <c r="AW70" s="250"/>
      <c r="AX70" s="250"/>
      <c r="AY70" s="250"/>
      <c r="AZ70" s="250"/>
      <c r="BA70" s="250"/>
      <c r="BB70" s="250"/>
      <c r="BC70" s="250"/>
      <c r="BD70" s="250"/>
      <c r="BE70" s="250"/>
      <c r="BF70" s="1"/>
    </row>
    <row r="71" spans="1:59" s="142" customFormat="1" x14ac:dyDescent="0.3">
      <c r="A71" s="251"/>
      <c r="C71" s="405"/>
      <c r="D71" s="405"/>
      <c r="E71" s="405"/>
      <c r="F71" s="289"/>
      <c r="J71" s="252"/>
      <c r="N71" s="289"/>
      <c r="Q71" s="142" t="s">
        <v>257</v>
      </c>
      <c r="T71" s="252"/>
      <c r="U71" s="253"/>
      <c r="X71" s="289"/>
      <c r="AD71" s="252"/>
      <c r="AE71" s="252"/>
      <c r="AF71" s="337" t="s">
        <v>258</v>
      </c>
      <c r="AG71" s="337"/>
      <c r="AH71" s="337"/>
      <c r="AI71" s="337"/>
      <c r="AJ71" s="337"/>
      <c r="AK71" s="337"/>
      <c r="AL71" s="337"/>
      <c r="AM71" s="337"/>
      <c r="AO71" s="254"/>
      <c r="AR71" s="337"/>
      <c r="AS71" s="337"/>
      <c r="AU71" s="255" t="s">
        <v>259</v>
      </c>
      <c r="AV71" s="255"/>
      <c r="AW71" s="255"/>
      <c r="AX71" s="255"/>
      <c r="AY71" s="255"/>
      <c r="AZ71" s="255"/>
      <c r="BA71" s="255"/>
      <c r="BB71" s="255"/>
      <c r="BC71" s="255"/>
      <c r="BD71" s="255"/>
      <c r="BE71" s="255"/>
      <c r="BF71" s="1"/>
    </row>
    <row r="72" spans="1:59" s="189" customFormat="1" x14ac:dyDescent="0.3">
      <c r="A72" s="241"/>
      <c r="C72" s="411"/>
      <c r="D72" s="411"/>
      <c r="E72" s="411"/>
      <c r="F72" s="294"/>
      <c r="H72" s="190"/>
      <c r="J72" s="190"/>
      <c r="K72" s="188"/>
      <c r="L72" s="188"/>
      <c r="M72" s="188"/>
      <c r="N72" s="294"/>
      <c r="P72" s="190"/>
      <c r="Q72" s="190"/>
      <c r="R72" s="190"/>
      <c r="T72" s="190"/>
      <c r="U72" s="191"/>
      <c r="V72" s="188"/>
      <c r="W72" s="188"/>
      <c r="X72" s="294"/>
      <c r="Z72" s="190"/>
      <c r="AA72" s="190"/>
      <c r="AB72" s="190"/>
      <c r="AD72" s="190"/>
      <c r="AE72" s="190"/>
      <c r="AF72" s="412"/>
      <c r="AG72" s="412"/>
      <c r="AH72" s="412"/>
      <c r="AI72" s="412"/>
      <c r="AJ72" s="412"/>
      <c r="AK72" s="412"/>
      <c r="AL72" s="412"/>
      <c r="AM72" s="412"/>
      <c r="AN72" s="188"/>
      <c r="AO72" s="256"/>
      <c r="AR72" s="412"/>
      <c r="AS72" s="412"/>
      <c r="AT72" s="257"/>
      <c r="AX72" s="8"/>
      <c r="BF72" s="1"/>
    </row>
    <row r="73" spans="1:59" s="189" customFormat="1" ht="45" customHeight="1" x14ac:dyDescent="0.3">
      <c r="A73" s="241"/>
      <c r="C73" s="8"/>
      <c r="D73" s="8"/>
      <c r="H73" s="190"/>
      <c r="J73" s="190"/>
      <c r="P73" s="190"/>
      <c r="Q73" s="190"/>
      <c r="R73" s="190"/>
      <c r="T73" s="190"/>
      <c r="U73" s="8"/>
      <c r="Z73" s="190"/>
      <c r="AA73" s="190"/>
      <c r="AB73" s="190"/>
      <c r="AD73" s="190"/>
      <c r="AE73" s="190"/>
      <c r="AF73" s="192"/>
      <c r="AL73" s="188"/>
      <c r="AM73" s="193"/>
      <c r="AN73" s="188"/>
      <c r="AO73" s="256"/>
      <c r="BE73" s="219"/>
      <c r="BF73" s="1"/>
      <c r="BG73" s="258"/>
    </row>
    <row r="74" spans="1:59" s="142" customFormat="1" x14ac:dyDescent="0.3">
      <c r="A74" s="251"/>
      <c r="B74" s="405"/>
      <c r="C74" s="405"/>
      <c r="D74" s="405"/>
      <c r="E74" s="405"/>
      <c r="F74" s="405"/>
      <c r="G74" s="405"/>
      <c r="H74" s="405"/>
      <c r="I74" s="405"/>
      <c r="J74" s="405"/>
      <c r="K74" s="259"/>
      <c r="L74" s="259"/>
      <c r="M74" s="259"/>
      <c r="N74" s="255" t="s">
        <v>147</v>
      </c>
      <c r="O74" s="255"/>
      <c r="P74" s="255"/>
      <c r="Q74" s="255"/>
      <c r="R74" s="255"/>
      <c r="S74" s="255"/>
      <c r="T74" s="252"/>
      <c r="U74" s="260"/>
      <c r="V74" s="259"/>
      <c r="W74" s="259"/>
      <c r="X74" s="289"/>
      <c r="Z74" s="252"/>
      <c r="AA74" s="252"/>
      <c r="AB74" s="252"/>
      <c r="AD74" s="252"/>
      <c r="AE74" s="252"/>
      <c r="AF74" s="261"/>
      <c r="AG74" s="337" t="s">
        <v>147</v>
      </c>
      <c r="AH74" s="337"/>
      <c r="AI74" s="337"/>
      <c r="AJ74" s="337"/>
      <c r="AK74" s="337"/>
      <c r="AL74" s="337"/>
      <c r="AM74" s="262"/>
      <c r="AN74" s="259"/>
      <c r="AO74" s="254"/>
      <c r="AQ74" s="255"/>
      <c r="AR74" s="255"/>
      <c r="AS74" s="255"/>
      <c r="AT74" s="255"/>
      <c r="AU74" s="255" t="s">
        <v>228</v>
      </c>
      <c r="AV74" s="255"/>
      <c r="AW74" s="255"/>
      <c r="AX74" s="255"/>
      <c r="BE74" s="98"/>
      <c r="BF74" s="1"/>
    </row>
    <row r="75" spans="1:59" s="189" customFormat="1" x14ac:dyDescent="0.3">
      <c r="A75" s="241"/>
      <c r="B75" s="142"/>
      <c r="C75" s="253"/>
      <c r="D75" s="253"/>
      <c r="E75" s="142"/>
      <c r="F75" s="142"/>
      <c r="G75" s="142"/>
      <c r="H75" s="252"/>
      <c r="I75" s="142"/>
      <c r="J75" s="252"/>
      <c r="K75" s="142"/>
      <c r="L75" s="142"/>
      <c r="M75" s="142"/>
      <c r="N75" s="142"/>
      <c r="O75" s="142"/>
      <c r="P75" s="252"/>
      <c r="Q75" s="252"/>
      <c r="R75" s="252"/>
      <c r="S75" s="142"/>
      <c r="T75" s="252"/>
      <c r="U75" s="253"/>
      <c r="V75" s="142"/>
      <c r="W75" s="142"/>
      <c r="X75" s="142"/>
      <c r="Y75" s="142"/>
      <c r="Z75" s="252"/>
      <c r="AA75" s="252"/>
      <c r="AB75" s="252"/>
      <c r="AC75" s="142"/>
      <c r="AD75" s="252"/>
      <c r="AE75" s="252"/>
      <c r="AF75" s="261"/>
      <c r="AG75" s="252"/>
      <c r="AH75" s="259"/>
      <c r="AI75" s="259"/>
      <c r="AJ75" s="259"/>
      <c r="AK75" s="259"/>
      <c r="AL75" s="259"/>
      <c r="AM75" s="262"/>
      <c r="AN75" s="259"/>
      <c r="AO75" s="194"/>
      <c r="BE75" s="98"/>
      <c r="BF75" s="1"/>
    </row>
    <row r="76" spans="1:59" s="189" customFormat="1" x14ac:dyDescent="0.3">
      <c r="A76" s="241"/>
      <c r="C76" s="8"/>
      <c r="D76" s="8"/>
      <c r="J76" s="190"/>
      <c r="T76" s="190"/>
      <c r="U76" s="8"/>
      <c r="AD76" s="190"/>
      <c r="AE76" s="190"/>
      <c r="AF76" s="192"/>
      <c r="AG76" s="190"/>
      <c r="AM76" s="194"/>
      <c r="AO76" s="194"/>
      <c r="BE76" s="98"/>
      <c r="BF76" s="1"/>
    </row>
    <row r="77" spans="1:59" s="189" customFormat="1" x14ac:dyDescent="0.3">
      <c r="A77" s="241"/>
      <c r="C77" s="8"/>
      <c r="D77" s="8"/>
      <c r="H77" s="190"/>
      <c r="J77" s="190"/>
      <c r="P77" s="190"/>
      <c r="Q77" s="190"/>
      <c r="R77" s="190"/>
      <c r="T77" s="190"/>
      <c r="U77" s="8"/>
      <c r="Z77" s="190"/>
      <c r="AA77" s="190"/>
      <c r="AB77" s="190"/>
      <c r="AD77" s="190"/>
      <c r="AE77" s="190"/>
      <c r="AF77" s="192"/>
      <c r="AG77" s="190"/>
      <c r="AH77" s="188"/>
      <c r="AI77" s="188"/>
      <c r="AJ77" s="188"/>
      <c r="AK77" s="188"/>
      <c r="AL77" s="188"/>
      <c r="AM77" s="193"/>
      <c r="AN77" s="188"/>
      <c r="AO77" s="194"/>
      <c r="BE77" s="45"/>
      <c r="BF77" s="1"/>
    </row>
    <row r="78" spans="1:59" x14ac:dyDescent="0.3">
      <c r="BE78" s="415"/>
    </row>
    <row r="79" spans="1:59" x14ac:dyDescent="0.3">
      <c r="BE79" s="415"/>
    </row>
    <row r="80" spans="1:59" x14ac:dyDescent="0.3">
      <c r="BE80" s="415"/>
      <c r="BF80" s="264"/>
    </row>
    <row r="81" spans="57:57" x14ac:dyDescent="0.3">
      <c r="BE81" s="415"/>
    </row>
    <row r="82" spans="57:57" ht="19.5" customHeight="1" x14ac:dyDescent="0.3">
      <c r="BE82" s="415"/>
    </row>
    <row r="83" spans="57:57" ht="19.5" customHeight="1" x14ac:dyDescent="0.3">
      <c r="BE83" s="415"/>
    </row>
    <row r="84" spans="57:57" x14ac:dyDescent="0.3">
      <c r="BE84" s="415"/>
    </row>
    <row r="85" spans="57:57" x14ac:dyDescent="0.3">
      <c r="BE85" s="415"/>
    </row>
    <row r="86" spans="57:57" x14ac:dyDescent="0.3">
      <c r="BE86" s="415"/>
    </row>
    <row r="87" spans="57:57" x14ac:dyDescent="0.3">
      <c r="BE87" s="415"/>
    </row>
    <row r="88" spans="57:57" x14ac:dyDescent="0.3">
      <c r="BE88" s="265"/>
    </row>
    <row r="89" spans="57:57" x14ac:dyDescent="0.3">
      <c r="BE89" s="265"/>
    </row>
    <row r="90" spans="57:57" x14ac:dyDescent="0.3">
      <c r="BE90" s="265"/>
    </row>
  </sheetData>
  <mergeCells count="121">
    <mergeCell ref="B74:J74"/>
    <mergeCell ref="AG74:AL74"/>
    <mergeCell ref="BE78:BE87"/>
    <mergeCell ref="AC63:AD63"/>
    <mergeCell ref="A67:B67"/>
    <mergeCell ref="A69:AW69"/>
    <mergeCell ref="C71:E71"/>
    <mergeCell ref="AF71:AM71"/>
    <mergeCell ref="AR71:AS71"/>
    <mergeCell ref="C72:E72"/>
    <mergeCell ref="AF72:AM72"/>
    <mergeCell ref="AR72:AS72"/>
    <mergeCell ref="AO60:AO62"/>
    <mergeCell ref="D61:D62"/>
    <mergeCell ref="E61:E62"/>
    <mergeCell ref="N61:N62"/>
    <mergeCell ref="O61:P61"/>
    <mergeCell ref="Q61:R61"/>
    <mergeCell ref="S61:T61"/>
    <mergeCell ref="U61:U62"/>
    <mergeCell ref="G63:H63"/>
    <mergeCell ref="I63:J63"/>
    <mergeCell ref="O63:P63"/>
    <mergeCell ref="S63:T63"/>
    <mergeCell ref="Y63:Z63"/>
    <mergeCell ref="X5:X6"/>
    <mergeCell ref="Y5:Z5"/>
    <mergeCell ref="V5:V6"/>
    <mergeCell ref="BE25:BE34"/>
    <mergeCell ref="A14:B14"/>
    <mergeCell ref="BE38:BE60"/>
    <mergeCell ref="A57:J57"/>
    <mergeCell ref="A58:J58"/>
    <mergeCell ref="A59:AY59"/>
    <mergeCell ref="A60:A62"/>
    <mergeCell ref="B60:B62"/>
    <mergeCell ref="C60:C62"/>
    <mergeCell ref="D60:K60"/>
    <mergeCell ref="L60:U60"/>
    <mergeCell ref="V60:AE60"/>
    <mergeCell ref="AF60:AF62"/>
    <mergeCell ref="AG60:AG62"/>
    <mergeCell ref="AH60:AH62"/>
    <mergeCell ref="AI60:AI62"/>
    <mergeCell ref="AJ60:AJ62"/>
    <mergeCell ref="AK60:AK62"/>
    <mergeCell ref="AL60:AL62"/>
    <mergeCell ref="AM60:AM62"/>
    <mergeCell ref="AN60:AN62"/>
    <mergeCell ref="AY60:AY62"/>
    <mergeCell ref="AC7:AD7"/>
    <mergeCell ref="V61:V62"/>
    <mergeCell ref="W61:W62"/>
    <mergeCell ref="X61:X62"/>
    <mergeCell ref="Y61:Z61"/>
    <mergeCell ref="A16:AW16"/>
    <mergeCell ref="C18:E18"/>
    <mergeCell ref="AF18:AM18"/>
    <mergeCell ref="AR18:AS18"/>
    <mergeCell ref="C19:E19"/>
    <mergeCell ref="AF19:AM19"/>
    <mergeCell ref="F61:F62"/>
    <mergeCell ref="G61:H61"/>
    <mergeCell ref="I61:J61"/>
    <mergeCell ref="K61:K62"/>
    <mergeCell ref="L61:L62"/>
    <mergeCell ref="M61:M62"/>
    <mergeCell ref="G7:H7"/>
    <mergeCell ref="I7:J7"/>
    <mergeCell ref="O7:P7"/>
    <mergeCell ref="S7:T7"/>
    <mergeCell ref="Y7:Z7"/>
    <mergeCell ref="AR19:AS19"/>
    <mergeCell ref="I5:J5"/>
    <mergeCell ref="K5:K6"/>
    <mergeCell ref="N5:N6"/>
    <mergeCell ref="AP60:AP62"/>
    <mergeCell ref="AQ60:AR61"/>
    <mergeCell ref="AS60:AT61"/>
    <mergeCell ref="AU60:AV61"/>
    <mergeCell ref="AW60:AW61"/>
    <mergeCell ref="AX60:AX62"/>
    <mergeCell ref="L5:L6"/>
    <mergeCell ref="M5:M6"/>
    <mergeCell ref="B21:J21"/>
    <mergeCell ref="AG21:AL21"/>
    <mergeCell ref="AQ4:AR5"/>
    <mergeCell ref="AS4:AT5"/>
    <mergeCell ref="AG4:AG6"/>
    <mergeCell ref="AH4:AH6"/>
    <mergeCell ref="AI4:AI6"/>
    <mergeCell ref="AJ4:AJ6"/>
    <mergeCell ref="AK4:AK6"/>
    <mergeCell ref="AL4:AL6"/>
    <mergeCell ref="U5:U6"/>
    <mergeCell ref="AO4:AO6"/>
    <mergeCell ref="AP4:AP6"/>
    <mergeCell ref="O5:P5"/>
    <mergeCell ref="Q5:R5"/>
    <mergeCell ref="S5:T5"/>
    <mergeCell ref="W5:W6"/>
    <mergeCell ref="AM4:AM6"/>
    <mergeCell ref="AN4:AN6"/>
    <mergeCell ref="A1:J1"/>
    <mergeCell ref="A2:J2"/>
    <mergeCell ref="A3:AY3"/>
    <mergeCell ref="A4:A6"/>
    <mergeCell ref="B4:B6"/>
    <mergeCell ref="C4:C6"/>
    <mergeCell ref="D4:K4"/>
    <mergeCell ref="L4:U4"/>
    <mergeCell ref="V4:AE4"/>
    <mergeCell ref="AF4:AF6"/>
    <mergeCell ref="AU4:AV5"/>
    <mergeCell ref="AW4:AW5"/>
    <mergeCell ref="AX4:AX6"/>
    <mergeCell ref="AY4:AY6"/>
    <mergeCell ref="D5:D6"/>
    <mergeCell ref="E5:E6"/>
    <mergeCell ref="F5:F6"/>
    <mergeCell ref="G5:H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83"/>
  <sheetViews>
    <sheetView tabSelected="1" topLeftCell="AP7" workbookViewId="0">
      <selection activeCell="AZ7" sqref="AZ1:BE1048576"/>
    </sheetView>
  </sheetViews>
  <sheetFormatPr defaultRowHeight="18.75" x14ac:dyDescent="0.3"/>
  <cols>
    <col min="1" max="1" width="2.33203125" style="11" customWidth="1"/>
    <col min="2" max="2" width="11.6640625" style="11" customWidth="1"/>
    <col min="3" max="3" width="7.44140625" style="263" customWidth="1"/>
    <col min="4" max="4" width="4.6640625" style="263" customWidth="1"/>
    <col min="5" max="5" width="0.5546875" style="11" hidden="1" customWidth="1"/>
    <col min="6" max="6" width="3.6640625" style="11" customWidth="1"/>
    <col min="7" max="7" width="1" style="11" hidden="1" customWidth="1"/>
    <col min="8" max="8" width="4.88671875" style="11" customWidth="1"/>
    <col min="9" max="9" width="3.5546875" style="11" customWidth="1"/>
    <col min="10" max="10" width="4.6640625" style="11" customWidth="1"/>
    <col min="11" max="11" width="4.77734375" style="11" customWidth="1"/>
    <col min="12" max="12" width="4.33203125" style="11" customWidth="1"/>
    <col min="13" max="13" width="4.44140625" style="11" hidden="1" customWidth="1"/>
    <col min="14" max="14" width="3.6640625" style="11" customWidth="1"/>
    <col min="15" max="15" width="7.109375" style="11" hidden="1" customWidth="1"/>
    <col min="16" max="16" width="0.88671875" style="11" hidden="1" customWidth="1"/>
    <col min="17" max="17" width="3.44140625" style="11" customWidth="1"/>
    <col min="18" max="18" width="4.33203125" style="11" customWidth="1"/>
    <col min="19" max="19" width="3.21875" style="11" customWidth="1"/>
    <col min="20" max="20" width="4.5546875" style="11" customWidth="1"/>
    <col min="21" max="21" width="6.21875" style="263" customWidth="1"/>
    <col min="22" max="22" width="4.77734375" style="11" customWidth="1"/>
    <col min="23" max="23" width="5.44140625" style="11" hidden="1" customWidth="1"/>
    <col min="24" max="24" width="5" style="11" hidden="1" customWidth="1"/>
    <col min="25" max="25" width="0.109375" style="11" hidden="1" customWidth="1"/>
    <col min="26" max="26" width="7.109375" style="11" hidden="1" customWidth="1"/>
    <col min="27" max="27" width="2.88671875" style="11" customWidth="1"/>
    <col min="28" max="28" width="5.33203125" style="11" customWidth="1"/>
    <col min="29" max="29" width="2.77734375" style="11" customWidth="1"/>
    <col min="30" max="30" width="4.88671875" style="11" customWidth="1"/>
    <col min="31" max="31" width="5.109375" style="11" customWidth="1"/>
    <col min="32" max="32" width="8.6640625" style="263" customWidth="1"/>
    <col min="33" max="33" width="3.21875" style="11" customWidth="1"/>
    <col min="34" max="34" width="1.109375" style="11" hidden="1" customWidth="1"/>
    <col min="35" max="35" width="5.88671875" style="11" customWidth="1"/>
    <col min="36" max="36" width="5.109375" style="11" customWidth="1"/>
    <col min="37" max="37" width="6.33203125" style="11" customWidth="1"/>
    <col min="38" max="38" width="5.33203125" style="11" customWidth="1"/>
    <col min="39" max="39" width="7.21875" style="11" customWidth="1"/>
    <col min="40" max="40" width="4.88671875" style="11" customWidth="1"/>
    <col min="41" max="41" width="7.33203125" style="11" customWidth="1"/>
    <col min="42" max="42" width="5.5546875" style="11" customWidth="1"/>
    <col min="43" max="43" width="6.21875" style="11" customWidth="1"/>
    <col min="44" max="44" width="6.109375" style="11" customWidth="1"/>
    <col min="45" max="45" width="5.33203125" style="11" customWidth="1"/>
    <col min="46" max="46" width="6.33203125" style="11" customWidth="1"/>
    <col min="47" max="47" width="5.44140625" style="11" customWidth="1"/>
    <col min="48" max="48" width="6.77734375" style="11" customWidth="1"/>
    <col min="49" max="49" width="6" style="11" customWidth="1"/>
    <col min="50" max="50" width="6.5546875" style="11" customWidth="1"/>
    <col min="51" max="51" width="5.44140625" style="11" customWidth="1"/>
    <col min="52" max="52" width="6.21875" style="1" customWidth="1"/>
    <col min="53" max="53" width="10.109375" style="11" bestFit="1" customWidth="1"/>
    <col min="54" max="16384" width="8.88671875" style="11"/>
  </cols>
  <sheetData>
    <row r="1" spans="1:52" s="189" customFormat="1" x14ac:dyDescent="0.3">
      <c r="A1" s="389" t="s">
        <v>28</v>
      </c>
      <c r="B1" s="389"/>
      <c r="C1" s="389"/>
      <c r="D1" s="389"/>
      <c r="E1" s="389"/>
      <c r="F1" s="389"/>
      <c r="G1" s="389"/>
      <c r="H1" s="389"/>
      <c r="I1" s="389"/>
      <c r="J1" s="389"/>
      <c r="K1" s="188"/>
      <c r="L1" s="188"/>
      <c r="M1" s="188"/>
      <c r="N1" s="188"/>
      <c r="O1" s="188"/>
      <c r="P1" s="188"/>
      <c r="Q1" s="188"/>
      <c r="R1" s="188"/>
      <c r="T1" s="190"/>
      <c r="U1" s="191"/>
      <c r="V1" s="188"/>
      <c r="W1" s="188"/>
      <c r="X1" s="188"/>
      <c r="Y1" s="188"/>
      <c r="Z1" s="188"/>
      <c r="AA1" s="188"/>
      <c r="AB1" s="188"/>
      <c r="AD1" s="190"/>
      <c r="AE1" s="190"/>
      <c r="AF1" s="192"/>
      <c r="AG1" s="190"/>
      <c r="AH1" s="188"/>
      <c r="AI1" s="188"/>
      <c r="AJ1" s="188"/>
      <c r="AK1" s="188"/>
      <c r="AL1" s="188"/>
      <c r="AM1" s="193"/>
      <c r="AN1" s="188"/>
      <c r="AO1" s="194"/>
      <c r="AX1" s="289"/>
      <c r="AZ1" s="3"/>
    </row>
    <row r="2" spans="1:52" s="189" customFormat="1" x14ac:dyDescent="0.3">
      <c r="A2" s="390" t="s">
        <v>30</v>
      </c>
      <c r="B2" s="390"/>
      <c r="C2" s="390"/>
      <c r="D2" s="390"/>
      <c r="E2" s="390"/>
      <c r="F2" s="390"/>
      <c r="G2" s="390"/>
      <c r="H2" s="390"/>
      <c r="I2" s="390"/>
      <c r="J2" s="390"/>
      <c r="K2" s="188"/>
      <c r="L2" s="188"/>
      <c r="M2" s="188"/>
      <c r="N2" s="188"/>
      <c r="O2" s="188"/>
      <c r="P2" s="188"/>
      <c r="Q2" s="188"/>
      <c r="R2" s="188"/>
      <c r="T2" s="190"/>
      <c r="U2" s="191"/>
      <c r="V2" s="188"/>
      <c r="W2" s="188"/>
      <c r="X2" s="188"/>
      <c r="Y2" s="188"/>
      <c r="Z2" s="188"/>
      <c r="AA2" s="188"/>
      <c r="AB2" s="188"/>
      <c r="AD2" s="190"/>
      <c r="AE2" s="190"/>
      <c r="AF2" s="192"/>
      <c r="AG2" s="190"/>
      <c r="AH2" s="188"/>
      <c r="AI2" s="188"/>
      <c r="AJ2" s="188"/>
      <c r="AK2" s="188"/>
      <c r="AL2" s="188"/>
      <c r="AM2" s="193"/>
      <c r="AN2" s="188"/>
      <c r="AO2" s="194"/>
      <c r="AZ2" s="3"/>
    </row>
    <row r="3" spans="1:52" s="195" customFormat="1" ht="63.75" customHeight="1" x14ac:dyDescent="0.3">
      <c r="A3" s="391" t="s">
        <v>278</v>
      </c>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c r="AK3" s="391"/>
      <c r="AL3" s="391"/>
      <c r="AM3" s="391"/>
      <c r="AN3" s="391"/>
      <c r="AO3" s="391"/>
      <c r="AP3" s="391"/>
      <c r="AQ3" s="391"/>
      <c r="AR3" s="391"/>
      <c r="AS3" s="391"/>
      <c r="AT3" s="391"/>
      <c r="AU3" s="391"/>
      <c r="AV3" s="391"/>
      <c r="AW3" s="391"/>
      <c r="AX3" s="391"/>
      <c r="AY3" s="391"/>
      <c r="AZ3" s="3"/>
    </row>
    <row r="4" spans="1:52" s="198" customFormat="1" ht="20.25" customHeight="1" x14ac:dyDescent="0.2">
      <c r="A4" s="392" t="s">
        <v>240</v>
      </c>
      <c r="B4" s="392" t="s">
        <v>31</v>
      </c>
      <c r="C4" s="387" t="s">
        <v>32</v>
      </c>
      <c r="D4" s="394" t="s">
        <v>241</v>
      </c>
      <c r="E4" s="395"/>
      <c r="F4" s="395"/>
      <c r="G4" s="395"/>
      <c r="H4" s="395"/>
      <c r="I4" s="395"/>
      <c r="J4" s="395"/>
      <c r="K4" s="396"/>
      <c r="L4" s="394" t="s">
        <v>242</v>
      </c>
      <c r="M4" s="395"/>
      <c r="N4" s="395"/>
      <c r="O4" s="395"/>
      <c r="P4" s="395"/>
      <c r="Q4" s="395"/>
      <c r="R4" s="395"/>
      <c r="S4" s="395"/>
      <c r="T4" s="395"/>
      <c r="U4" s="396"/>
      <c r="V4" s="397" t="s">
        <v>243</v>
      </c>
      <c r="W4" s="398"/>
      <c r="X4" s="398"/>
      <c r="Y4" s="398"/>
      <c r="Z4" s="398"/>
      <c r="AA4" s="398"/>
      <c r="AB4" s="398"/>
      <c r="AC4" s="398"/>
      <c r="AD4" s="398"/>
      <c r="AE4" s="399"/>
      <c r="AF4" s="400" t="s">
        <v>244</v>
      </c>
      <c r="AG4" s="384" t="s">
        <v>245</v>
      </c>
      <c r="AH4" s="406" t="s">
        <v>246</v>
      </c>
      <c r="AI4" s="407" t="s">
        <v>247</v>
      </c>
      <c r="AJ4" s="407" t="s">
        <v>248</v>
      </c>
      <c r="AK4" s="407" t="s">
        <v>249</v>
      </c>
      <c r="AL4" s="388" t="s">
        <v>250</v>
      </c>
      <c r="AM4" s="387" t="s">
        <v>251</v>
      </c>
      <c r="AN4" s="388" t="s">
        <v>246</v>
      </c>
      <c r="AO4" s="408" t="s">
        <v>52</v>
      </c>
      <c r="AP4" s="387" t="s">
        <v>252</v>
      </c>
      <c r="AQ4" s="403" t="s">
        <v>40</v>
      </c>
      <c r="AR4" s="403"/>
      <c r="AS4" s="403" t="s">
        <v>41</v>
      </c>
      <c r="AT4" s="403"/>
      <c r="AU4" s="403" t="s">
        <v>42</v>
      </c>
      <c r="AV4" s="403"/>
      <c r="AW4" s="403" t="s">
        <v>43</v>
      </c>
      <c r="AX4" s="387" t="s">
        <v>46</v>
      </c>
      <c r="AY4" s="387" t="s">
        <v>47</v>
      </c>
      <c r="AZ4" s="3"/>
    </row>
    <row r="5" spans="1:52" s="201" customFormat="1" ht="25.5" customHeight="1" x14ac:dyDescent="0.2">
      <c r="A5" s="393"/>
      <c r="B5" s="392"/>
      <c r="C5" s="387"/>
      <c r="D5" s="384" t="s">
        <v>33</v>
      </c>
      <c r="E5" s="384" t="s">
        <v>34</v>
      </c>
      <c r="F5" s="384" t="s">
        <v>34</v>
      </c>
      <c r="G5" s="394" t="s">
        <v>35</v>
      </c>
      <c r="H5" s="396"/>
      <c r="I5" s="384" t="s">
        <v>35</v>
      </c>
      <c r="J5" s="384"/>
      <c r="K5" s="384" t="s">
        <v>253</v>
      </c>
      <c r="L5" s="384" t="s">
        <v>33</v>
      </c>
      <c r="M5" s="384" t="s">
        <v>34</v>
      </c>
      <c r="N5" s="384" t="s">
        <v>34</v>
      </c>
      <c r="O5" s="384" t="s">
        <v>35</v>
      </c>
      <c r="P5" s="384"/>
      <c r="Q5" s="384" t="s">
        <v>35</v>
      </c>
      <c r="R5" s="384"/>
      <c r="S5" s="384" t="s">
        <v>35</v>
      </c>
      <c r="T5" s="384"/>
      <c r="U5" s="384" t="s">
        <v>253</v>
      </c>
      <c r="V5" s="384" t="s">
        <v>33</v>
      </c>
      <c r="W5" s="385" t="s">
        <v>34</v>
      </c>
      <c r="X5" s="384" t="s">
        <v>34</v>
      </c>
      <c r="Y5" s="384" t="s">
        <v>35</v>
      </c>
      <c r="Z5" s="384"/>
      <c r="AA5" s="296"/>
      <c r="AB5" s="296"/>
      <c r="AC5" s="199" t="s">
        <v>35</v>
      </c>
      <c r="AD5" s="199"/>
      <c r="AE5" s="199"/>
      <c r="AF5" s="401"/>
      <c r="AG5" s="384"/>
      <c r="AH5" s="406"/>
      <c r="AI5" s="407"/>
      <c r="AJ5" s="407"/>
      <c r="AK5" s="407"/>
      <c r="AL5" s="388"/>
      <c r="AM5" s="387"/>
      <c r="AN5" s="388"/>
      <c r="AO5" s="408"/>
      <c r="AP5" s="387"/>
      <c r="AQ5" s="403"/>
      <c r="AR5" s="403"/>
      <c r="AS5" s="403"/>
      <c r="AT5" s="403"/>
      <c r="AU5" s="403"/>
      <c r="AV5" s="403"/>
      <c r="AW5" s="403"/>
      <c r="AX5" s="387"/>
      <c r="AY5" s="387"/>
      <c r="AZ5" s="3"/>
    </row>
    <row r="6" spans="1:52" s="207" customFormat="1" ht="90.75" customHeight="1" x14ac:dyDescent="0.2">
      <c r="A6" s="393"/>
      <c r="B6" s="392"/>
      <c r="C6" s="387"/>
      <c r="D6" s="404"/>
      <c r="E6" s="404"/>
      <c r="F6" s="404"/>
      <c r="G6" s="297" t="s">
        <v>48</v>
      </c>
      <c r="H6" s="202" t="s">
        <v>254</v>
      </c>
      <c r="I6" s="297" t="s">
        <v>48</v>
      </c>
      <c r="J6" s="202" t="s">
        <v>255</v>
      </c>
      <c r="K6" s="404"/>
      <c r="L6" s="404"/>
      <c r="M6" s="404"/>
      <c r="N6" s="404"/>
      <c r="O6" s="297" t="s">
        <v>48</v>
      </c>
      <c r="P6" s="202" t="s">
        <v>49</v>
      </c>
      <c r="Q6" s="297" t="s">
        <v>48</v>
      </c>
      <c r="R6" s="202" t="s">
        <v>49</v>
      </c>
      <c r="S6" s="297" t="s">
        <v>48</v>
      </c>
      <c r="T6" s="202" t="s">
        <v>50</v>
      </c>
      <c r="U6" s="404"/>
      <c r="V6" s="404"/>
      <c r="W6" s="386"/>
      <c r="X6" s="404"/>
      <c r="Y6" s="297" t="s">
        <v>48</v>
      </c>
      <c r="Z6" s="202" t="s">
        <v>49</v>
      </c>
      <c r="AA6" s="203" t="s">
        <v>48</v>
      </c>
      <c r="AB6" s="204" t="s">
        <v>256</v>
      </c>
      <c r="AC6" s="203" t="s">
        <v>48</v>
      </c>
      <c r="AD6" s="204" t="s">
        <v>50</v>
      </c>
      <c r="AE6" s="205" t="s">
        <v>253</v>
      </c>
      <c r="AF6" s="402"/>
      <c r="AG6" s="384"/>
      <c r="AH6" s="406"/>
      <c r="AI6" s="407"/>
      <c r="AJ6" s="407"/>
      <c r="AK6" s="407"/>
      <c r="AL6" s="388"/>
      <c r="AM6" s="387"/>
      <c r="AN6" s="388"/>
      <c r="AO6" s="408"/>
      <c r="AP6" s="387"/>
      <c r="AQ6" s="296" t="s">
        <v>68</v>
      </c>
      <c r="AR6" s="296" t="s">
        <v>53</v>
      </c>
      <c r="AS6" s="296" t="s">
        <v>54</v>
      </c>
      <c r="AT6" s="296" t="s">
        <v>55</v>
      </c>
      <c r="AU6" s="296" t="s">
        <v>56</v>
      </c>
      <c r="AV6" s="296" t="s">
        <v>57</v>
      </c>
      <c r="AW6" s="296" t="s">
        <v>58</v>
      </c>
      <c r="AX6" s="387"/>
      <c r="AY6" s="387"/>
      <c r="AZ6" s="206"/>
    </row>
    <row r="7" spans="1:52" s="210" customFormat="1" ht="11.25" customHeight="1" x14ac:dyDescent="0.2">
      <c r="A7" s="291" t="s">
        <v>1</v>
      </c>
      <c r="B7" s="291" t="s">
        <v>2</v>
      </c>
      <c r="C7" s="291" t="s">
        <v>59</v>
      </c>
      <c r="D7" s="291">
        <v>1</v>
      </c>
      <c r="E7" s="291">
        <v>2</v>
      </c>
      <c r="F7" s="291">
        <v>2</v>
      </c>
      <c r="G7" s="413">
        <v>3</v>
      </c>
      <c r="H7" s="414"/>
      <c r="I7" s="409">
        <v>3</v>
      </c>
      <c r="J7" s="409"/>
      <c r="K7" s="291">
        <v>4</v>
      </c>
      <c r="L7" s="291">
        <v>5</v>
      </c>
      <c r="M7" s="291">
        <v>2</v>
      </c>
      <c r="N7" s="291">
        <v>6</v>
      </c>
      <c r="O7" s="409">
        <v>3</v>
      </c>
      <c r="P7" s="409"/>
      <c r="Q7" s="291"/>
      <c r="R7" s="291"/>
      <c r="S7" s="409">
        <v>7</v>
      </c>
      <c r="T7" s="409"/>
      <c r="U7" s="291">
        <v>8</v>
      </c>
      <c r="V7" s="291">
        <v>9</v>
      </c>
      <c r="W7" s="291">
        <v>2</v>
      </c>
      <c r="X7" s="291"/>
      <c r="Y7" s="409">
        <v>3</v>
      </c>
      <c r="Z7" s="409"/>
      <c r="AA7" s="291"/>
      <c r="AB7" s="291"/>
      <c r="AC7" s="409">
        <v>10</v>
      </c>
      <c r="AD7" s="409"/>
      <c r="AE7" s="208">
        <v>11</v>
      </c>
      <c r="AF7" s="291">
        <v>12</v>
      </c>
      <c r="AG7" s="208">
        <v>13</v>
      </c>
      <c r="AH7" s="291">
        <v>14</v>
      </c>
      <c r="AI7" s="208">
        <v>15</v>
      </c>
      <c r="AJ7" s="291">
        <v>16</v>
      </c>
      <c r="AK7" s="291"/>
      <c r="AL7" s="208">
        <v>17</v>
      </c>
      <c r="AM7" s="291">
        <v>18</v>
      </c>
      <c r="AN7" s="208">
        <v>19</v>
      </c>
      <c r="AO7" s="291">
        <v>20</v>
      </c>
      <c r="AP7" s="208">
        <v>21</v>
      </c>
      <c r="AQ7" s="291">
        <v>22</v>
      </c>
      <c r="AR7" s="208">
        <v>23</v>
      </c>
      <c r="AS7" s="291">
        <v>24</v>
      </c>
      <c r="AT7" s="208">
        <v>25</v>
      </c>
      <c r="AU7" s="291">
        <v>26</v>
      </c>
      <c r="AV7" s="208">
        <v>27</v>
      </c>
      <c r="AW7" s="291">
        <v>28</v>
      </c>
      <c r="AX7" s="291">
        <v>32</v>
      </c>
      <c r="AY7" s="291" t="s">
        <v>60</v>
      </c>
      <c r="AZ7" s="3"/>
    </row>
    <row r="8" spans="1:52" s="220" customFormat="1" ht="20.25" customHeight="1" x14ac:dyDescent="0.3">
      <c r="A8" s="293" t="s">
        <v>61</v>
      </c>
      <c r="B8" s="211" t="s">
        <v>62</v>
      </c>
      <c r="C8" s="211"/>
      <c r="D8" s="212"/>
      <c r="E8" s="212"/>
      <c r="F8" s="212"/>
      <c r="G8" s="211"/>
      <c r="H8" s="213"/>
      <c r="I8" s="211"/>
      <c r="J8" s="214"/>
      <c r="K8" s="214"/>
      <c r="L8" s="215"/>
      <c r="M8" s="214"/>
      <c r="N8" s="214"/>
      <c r="O8" s="214"/>
      <c r="P8" s="214"/>
      <c r="Q8" s="214"/>
      <c r="R8" s="214"/>
      <c r="S8" s="211"/>
      <c r="T8" s="214"/>
      <c r="U8" s="214"/>
      <c r="V8" s="212"/>
      <c r="W8" s="211"/>
      <c r="X8" s="212"/>
      <c r="Y8" s="211"/>
      <c r="Z8" s="213"/>
      <c r="AA8" s="213"/>
      <c r="AB8" s="213"/>
      <c r="AC8" s="211"/>
      <c r="AD8" s="214"/>
      <c r="AE8" s="214"/>
      <c r="AF8" s="214"/>
      <c r="AG8" s="214"/>
      <c r="AH8" s="216"/>
      <c r="AI8" s="216"/>
      <c r="AJ8" s="216"/>
      <c r="AK8" s="216"/>
      <c r="AL8" s="216"/>
      <c r="AM8" s="217"/>
      <c r="AN8" s="216"/>
      <c r="AO8" s="217"/>
      <c r="AP8" s="217"/>
      <c r="AQ8" s="217"/>
      <c r="AR8" s="217"/>
      <c r="AS8" s="217"/>
      <c r="AT8" s="217"/>
      <c r="AU8" s="217"/>
      <c r="AV8" s="217"/>
      <c r="AW8" s="217"/>
      <c r="AX8" s="217"/>
      <c r="AY8" s="217"/>
      <c r="AZ8" s="31"/>
    </row>
    <row r="9" spans="1:52" s="236" customFormat="1" ht="17.25" customHeight="1" x14ac:dyDescent="0.25">
      <c r="A9" s="221">
        <v>1</v>
      </c>
      <c r="B9" s="139" t="s">
        <v>270</v>
      </c>
      <c r="C9" s="139" t="s">
        <v>103</v>
      </c>
      <c r="D9" s="222">
        <v>3.86</v>
      </c>
      <c r="E9" s="223"/>
      <c r="F9" s="223"/>
      <c r="G9" s="224"/>
      <c r="H9" s="272"/>
      <c r="I9" s="226">
        <v>0.19</v>
      </c>
      <c r="J9" s="227">
        <f>ROUND((D9+F9)*I9,4)</f>
        <v>0.73340000000000005</v>
      </c>
      <c r="K9" s="274">
        <f>ROUND((D9+F9)*0.5,4)</f>
        <v>1.93</v>
      </c>
      <c r="L9" s="270">
        <v>4.0599999999999996</v>
      </c>
      <c r="M9" s="271"/>
      <c r="N9" s="271"/>
      <c r="O9" s="224"/>
      <c r="P9" s="225"/>
      <c r="Q9" s="226"/>
      <c r="R9" s="225"/>
      <c r="S9" s="226">
        <v>0.19</v>
      </c>
      <c r="T9" s="227">
        <f t="shared" ref="T9:T13" si="0">ROUND((L9+N9)*S9,4)</f>
        <v>0.77139999999999997</v>
      </c>
      <c r="U9" s="275">
        <f t="shared" ref="U9:U13" si="1">ROUND((L9+N9+R9)*0.5,4)</f>
        <v>2.0299999999999998</v>
      </c>
      <c r="V9" s="223">
        <f t="shared" ref="V9:V13" si="2">L9-D9</f>
        <v>0.19999999999999973</v>
      </c>
      <c r="W9" s="223"/>
      <c r="X9" s="223"/>
      <c r="Y9" s="224"/>
      <c r="Z9" s="225"/>
      <c r="AA9" s="225"/>
      <c r="AB9" s="225"/>
      <c r="AC9" s="226"/>
      <c r="AD9" s="227">
        <f t="shared" ref="AD9:AD13" si="3">ROUND((T9-J9),4)</f>
        <v>3.7999999999999999E-2</v>
      </c>
      <c r="AE9" s="227">
        <f>U9-K9</f>
        <v>9.9999999999999867E-2</v>
      </c>
      <c r="AF9" s="227" t="s">
        <v>279</v>
      </c>
      <c r="AG9" s="229">
        <v>3</v>
      </c>
      <c r="AH9" s="227"/>
      <c r="AI9" s="227">
        <f>(V9-AB9)*AG9</f>
        <v>0.5999999999999992</v>
      </c>
      <c r="AJ9" s="227">
        <f t="shared" ref="AJ9:AJ13" si="4">(AD9)*AG9</f>
        <v>0.11399999999999999</v>
      </c>
      <c r="AK9" s="227">
        <f t="shared" ref="AK9:AK13" si="5">AB9*AG9</f>
        <v>0</v>
      </c>
      <c r="AL9" s="227">
        <f t="shared" ref="AL9:AL13" si="6">AI9+AJ9+AK9</f>
        <v>0.71399999999999919</v>
      </c>
      <c r="AM9" s="267">
        <f>ROUND(AL9*2340000,0)</f>
        <v>1670760</v>
      </c>
      <c r="AN9" s="227">
        <f t="shared" ref="AN9:AN13" si="7">ROUND(AE9*AG9,4)</f>
        <v>0.3</v>
      </c>
      <c r="AO9" s="230">
        <f>ROUND((AN9*2340000),0)</f>
        <v>702000</v>
      </c>
      <c r="AP9" s="273">
        <f t="shared" ref="AP9:AP13" si="8">ROUND((AM9*0.5/100),0)</f>
        <v>8354</v>
      </c>
      <c r="AQ9" s="232">
        <f t="shared" ref="AQ9:AQ13" si="9">ROUND((AM9*17/100),0)</f>
        <v>284029</v>
      </c>
      <c r="AR9" s="232">
        <f t="shared" ref="AR9:AR13" si="10">ROUND((AM9*8/100),0)</f>
        <v>133661</v>
      </c>
      <c r="AS9" s="232">
        <f t="shared" ref="AS9:AS13" si="11">ROUND((AM9*3/100),0)</f>
        <v>50123</v>
      </c>
      <c r="AT9" s="232">
        <f t="shared" ref="AT9:AT13" si="12">ROUND((AM9*1.5/100),0)</f>
        <v>25061</v>
      </c>
      <c r="AU9" s="232">
        <f t="shared" ref="AU9:AU13" si="13">ROUND((AM9/100),0)</f>
        <v>16708</v>
      </c>
      <c r="AV9" s="232">
        <f t="shared" ref="AV9:AV13" si="14">ROUND((AM9/100),0)</f>
        <v>16708</v>
      </c>
      <c r="AW9" s="232">
        <f t="shared" ref="AW9:AW13" si="15">AM9*2/100</f>
        <v>33415.199999999997</v>
      </c>
      <c r="AX9" s="232">
        <f t="shared" ref="AX9:AX13" si="16">ROUND((AM9+AO9-AR9-AT9-AV9),0)</f>
        <v>2197330</v>
      </c>
      <c r="AY9" s="233"/>
      <c r="AZ9" s="235"/>
    </row>
    <row r="10" spans="1:52" s="236" customFormat="1" ht="17.25" customHeight="1" x14ac:dyDescent="0.25">
      <c r="A10" s="221">
        <v>2</v>
      </c>
      <c r="B10" s="139" t="s">
        <v>272</v>
      </c>
      <c r="C10" s="139" t="s">
        <v>224</v>
      </c>
      <c r="D10" s="222">
        <v>4.32</v>
      </c>
      <c r="E10" s="223"/>
      <c r="F10" s="223"/>
      <c r="G10" s="224"/>
      <c r="H10" s="272"/>
      <c r="I10" s="226">
        <v>0.27</v>
      </c>
      <c r="J10" s="227">
        <f>ROUND((D10+F10)*I10,4)</f>
        <v>1.1664000000000001</v>
      </c>
      <c r="K10" s="274">
        <f>ROUND((D10+F10)*0.5,4)</f>
        <v>2.16</v>
      </c>
      <c r="L10" s="270">
        <v>4.6500000000000004</v>
      </c>
      <c r="M10" s="271"/>
      <c r="N10" s="271"/>
      <c r="O10" s="224"/>
      <c r="P10" s="225"/>
      <c r="Q10" s="226"/>
      <c r="R10" s="225"/>
      <c r="S10" s="226">
        <v>0.27</v>
      </c>
      <c r="T10" s="227">
        <f t="shared" si="0"/>
        <v>1.2555000000000001</v>
      </c>
      <c r="U10" s="275">
        <f t="shared" si="1"/>
        <v>2.3250000000000002</v>
      </c>
      <c r="V10" s="223">
        <f t="shared" si="2"/>
        <v>0.33000000000000007</v>
      </c>
      <c r="W10" s="223"/>
      <c r="X10" s="223"/>
      <c r="Y10" s="224"/>
      <c r="Z10" s="225"/>
      <c r="AA10" s="225"/>
      <c r="AB10" s="225"/>
      <c r="AC10" s="226"/>
      <c r="AD10" s="227">
        <f t="shared" si="3"/>
        <v>8.9099999999999999E-2</v>
      </c>
      <c r="AE10" s="227">
        <f t="shared" ref="AE10:AE13" si="17">U10-K10</f>
        <v>0.16500000000000004</v>
      </c>
      <c r="AF10" s="227" t="s">
        <v>266</v>
      </c>
      <c r="AG10" s="229">
        <v>2</v>
      </c>
      <c r="AH10" s="227"/>
      <c r="AI10" s="227">
        <f t="shared" ref="AI10:AI13" si="18">(V10-AB10)*AG10</f>
        <v>0.66000000000000014</v>
      </c>
      <c r="AJ10" s="227">
        <f t="shared" si="4"/>
        <v>0.1782</v>
      </c>
      <c r="AK10" s="227">
        <f t="shared" si="5"/>
        <v>0</v>
      </c>
      <c r="AL10" s="227">
        <f t="shared" si="6"/>
        <v>0.83820000000000017</v>
      </c>
      <c r="AM10" s="267">
        <f t="shared" ref="AM10:AM13" si="19">ROUND(AL10*2340000,0)</f>
        <v>1961388</v>
      </c>
      <c r="AN10" s="227">
        <f t="shared" si="7"/>
        <v>0.33</v>
      </c>
      <c r="AO10" s="230">
        <f t="shared" ref="AO10:AO13" si="20">ROUND((AN10*2340000),0)</f>
        <v>772200</v>
      </c>
      <c r="AP10" s="273">
        <f t="shared" si="8"/>
        <v>9807</v>
      </c>
      <c r="AQ10" s="232">
        <f t="shared" si="9"/>
        <v>333436</v>
      </c>
      <c r="AR10" s="232">
        <f t="shared" si="10"/>
        <v>156911</v>
      </c>
      <c r="AS10" s="232">
        <f t="shared" si="11"/>
        <v>58842</v>
      </c>
      <c r="AT10" s="232">
        <f t="shared" si="12"/>
        <v>29421</v>
      </c>
      <c r="AU10" s="232">
        <f t="shared" si="13"/>
        <v>19614</v>
      </c>
      <c r="AV10" s="232">
        <f t="shared" si="14"/>
        <v>19614</v>
      </c>
      <c r="AW10" s="232">
        <f t="shared" si="15"/>
        <v>39227.760000000002</v>
      </c>
      <c r="AX10" s="232">
        <f t="shared" si="16"/>
        <v>2527642</v>
      </c>
      <c r="AY10" s="233"/>
      <c r="AZ10" s="235"/>
    </row>
    <row r="11" spans="1:52" s="236" customFormat="1" ht="17.25" customHeight="1" x14ac:dyDescent="0.25">
      <c r="A11" s="221">
        <v>3</v>
      </c>
      <c r="B11" s="139" t="s">
        <v>272</v>
      </c>
      <c r="C11" s="139" t="s">
        <v>224</v>
      </c>
      <c r="D11" s="222">
        <v>4.32</v>
      </c>
      <c r="E11" s="223"/>
      <c r="F11" s="223"/>
      <c r="G11" s="224"/>
      <c r="H11" s="272"/>
      <c r="I11" s="226">
        <v>0.28000000000000003</v>
      </c>
      <c r="J11" s="227">
        <f>ROUND((D11+F11)*I11,4)</f>
        <v>1.2096</v>
      </c>
      <c r="K11" s="274">
        <f>ROUND((D11+F11)*0.5,4)</f>
        <v>2.16</v>
      </c>
      <c r="L11" s="270">
        <v>4.6500000000000004</v>
      </c>
      <c r="M11" s="271"/>
      <c r="N11" s="271"/>
      <c r="O11" s="224"/>
      <c r="P11" s="225"/>
      <c r="Q11" s="226"/>
      <c r="R11" s="225"/>
      <c r="S11" s="226">
        <v>0.28000000000000003</v>
      </c>
      <c r="T11" s="227">
        <f t="shared" si="0"/>
        <v>1.302</v>
      </c>
      <c r="U11" s="275">
        <f t="shared" si="1"/>
        <v>2.3250000000000002</v>
      </c>
      <c r="V11" s="223">
        <f t="shared" si="2"/>
        <v>0.33000000000000007</v>
      </c>
      <c r="W11" s="223"/>
      <c r="X11" s="223"/>
      <c r="Y11" s="224"/>
      <c r="Z11" s="225"/>
      <c r="AA11" s="225"/>
      <c r="AB11" s="225"/>
      <c r="AC11" s="226"/>
      <c r="AD11" s="227">
        <f t="shared" si="3"/>
        <v>9.2399999999999996E-2</v>
      </c>
      <c r="AE11" s="227">
        <f t="shared" si="17"/>
        <v>0.16500000000000004</v>
      </c>
      <c r="AF11" s="227" t="s">
        <v>280</v>
      </c>
      <c r="AG11" s="229">
        <v>1</v>
      </c>
      <c r="AH11" s="227"/>
      <c r="AI11" s="227">
        <f t="shared" si="18"/>
        <v>0.33000000000000007</v>
      </c>
      <c r="AJ11" s="227">
        <f t="shared" si="4"/>
        <v>9.2399999999999996E-2</v>
      </c>
      <c r="AK11" s="227">
        <f t="shared" si="5"/>
        <v>0</v>
      </c>
      <c r="AL11" s="227">
        <f t="shared" si="6"/>
        <v>0.42240000000000005</v>
      </c>
      <c r="AM11" s="267">
        <f t="shared" si="19"/>
        <v>988416</v>
      </c>
      <c r="AN11" s="227">
        <f t="shared" si="7"/>
        <v>0.16500000000000001</v>
      </c>
      <c r="AO11" s="230">
        <f t="shared" si="20"/>
        <v>386100</v>
      </c>
      <c r="AP11" s="273">
        <f t="shared" si="8"/>
        <v>4942</v>
      </c>
      <c r="AQ11" s="232">
        <f t="shared" si="9"/>
        <v>168031</v>
      </c>
      <c r="AR11" s="232">
        <f t="shared" si="10"/>
        <v>79073</v>
      </c>
      <c r="AS11" s="232">
        <f t="shared" si="11"/>
        <v>29652</v>
      </c>
      <c r="AT11" s="232">
        <f t="shared" si="12"/>
        <v>14826</v>
      </c>
      <c r="AU11" s="232">
        <f t="shared" si="13"/>
        <v>9884</v>
      </c>
      <c r="AV11" s="232">
        <f t="shared" si="14"/>
        <v>9884</v>
      </c>
      <c r="AW11" s="232">
        <f t="shared" si="15"/>
        <v>19768.32</v>
      </c>
      <c r="AX11" s="232">
        <f t="shared" si="16"/>
        <v>1270733</v>
      </c>
      <c r="AY11" s="233"/>
      <c r="AZ11" s="235"/>
    </row>
    <row r="12" spans="1:52" s="236" customFormat="1" ht="17.25" customHeight="1" x14ac:dyDescent="0.25">
      <c r="A12" s="221">
        <v>4</v>
      </c>
      <c r="B12" s="139" t="s">
        <v>274</v>
      </c>
      <c r="C12" s="139" t="s">
        <v>225</v>
      </c>
      <c r="D12" s="222">
        <v>4</v>
      </c>
      <c r="E12" s="223"/>
      <c r="F12" s="223"/>
      <c r="G12" s="224"/>
      <c r="H12" s="225"/>
      <c r="I12" s="226">
        <v>0.17</v>
      </c>
      <c r="J12" s="227">
        <f>ROUND((D12+F12)*I12,4)</f>
        <v>0.68</v>
      </c>
      <c r="K12" s="228">
        <f>ROUND((D12+F12)*0.5,4)</f>
        <v>2</v>
      </c>
      <c r="L12" s="222">
        <v>4.34</v>
      </c>
      <c r="M12" s="223"/>
      <c r="N12" s="223"/>
      <c r="O12" s="224"/>
      <c r="P12" s="225"/>
      <c r="Q12" s="226"/>
      <c r="R12" s="225"/>
      <c r="S12" s="226">
        <v>0.17</v>
      </c>
      <c r="T12" s="227">
        <f t="shared" si="0"/>
        <v>0.73780000000000001</v>
      </c>
      <c r="U12" s="275">
        <f t="shared" si="1"/>
        <v>2.17</v>
      </c>
      <c r="V12" s="223">
        <f t="shared" si="2"/>
        <v>0.33999999999999986</v>
      </c>
      <c r="W12" s="223"/>
      <c r="X12" s="223"/>
      <c r="Y12" s="224"/>
      <c r="Z12" s="225"/>
      <c r="AA12" s="225"/>
      <c r="AB12" s="225"/>
      <c r="AC12" s="226"/>
      <c r="AD12" s="227">
        <f t="shared" si="3"/>
        <v>5.7799999999999997E-2</v>
      </c>
      <c r="AE12" s="227">
        <f t="shared" si="17"/>
        <v>0.16999999999999993</v>
      </c>
      <c r="AF12" s="227" t="s">
        <v>266</v>
      </c>
      <c r="AG12" s="229">
        <v>2</v>
      </c>
      <c r="AH12" s="227"/>
      <c r="AI12" s="227">
        <f t="shared" si="18"/>
        <v>0.67999999999999972</v>
      </c>
      <c r="AJ12" s="227">
        <f t="shared" si="4"/>
        <v>0.11559999999999999</v>
      </c>
      <c r="AK12" s="227">
        <f t="shared" si="5"/>
        <v>0</v>
      </c>
      <c r="AL12" s="227">
        <f t="shared" si="6"/>
        <v>0.79559999999999975</v>
      </c>
      <c r="AM12" s="267">
        <f t="shared" si="19"/>
        <v>1861704</v>
      </c>
      <c r="AN12" s="227">
        <f t="shared" si="7"/>
        <v>0.34</v>
      </c>
      <c r="AO12" s="230">
        <f t="shared" si="20"/>
        <v>795600</v>
      </c>
      <c r="AP12" s="273">
        <f t="shared" si="8"/>
        <v>9309</v>
      </c>
      <c r="AQ12" s="232">
        <f t="shared" si="9"/>
        <v>316490</v>
      </c>
      <c r="AR12" s="232">
        <f t="shared" si="10"/>
        <v>148936</v>
      </c>
      <c r="AS12" s="232">
        <f t="shared" si="11"/>
        <v>55851</v>
      </c>
      <c r="AT12" s="232">
        <f t="shared" si="12"/>
        <v>27926</v>
      </c>
      <c r="AU12" s="232">
        <f t="shared" si="13"/>
        <v>18617</v>
      </c>
      <c r="AV12" s="232">
        <f t="shared" si="14"/>
        <v>18617</v>
      </c>
      <c r="AW12" s="232">
        <f t="shared" si="15"/>
        <v>37234.080000000002</v>
      </c>
      <c r="AX12" s="232">
        <f t="shared" si="16"/>
        <v>2461825</v>
      </c>
      <c r="AY12" s="233"/>
      <c r="AZ12" s="235"/>
    </row>
    <row r="13" spans="1:52" s="236" customFormat="1" ht="17.25" customHeight="1" x14ac:dyDescent="0.25">
      <c r="A13" s="221">
        <v>5</v>
      </c>
      <c r="B13" s="139" t="s">
        <v>274</v>
      </c>
      <c r="C13" s="139" t="s">
        <v>225</v>
      </c>
      <c r="D13" s="222">
        <v>4</v>
      </c>
      <c r="E13" s="223"/>
      <c r="F13" s="223"/>
      <c r="G13" s="224"/>
      <c r="H13" s="225"/>
      <c r="I13" s="226">
        <v>0.18</v>
      </c>
      <c r="J13" s="227">
        <f>ROUND((D13+F13)*I13,4)</f>
        <v>0.72</v>
      </c>
      <c r="K13" s="228">
        <f>ROUND((D13+F13)*0.5,4)</f>
        <v>2</v>
      </c>
      <c r="L13" s="222">
        <v>4.34</v>
      </c>
      <c r="M13" s="223"/>
      <c r="N13" s="223"/>
      <c r="O13" s="224"/>
      <c r="P13" s="225"/>
      <c r="Q13" s="226"/>
      <c r="R13" s="225"/>
      <c r="S13" s="226">
        <v>0.18</v>
      </c>
      <c r="T13" s="227">
        <f t="shared" si="0"/>
        <v>0.78120000000000001</v>
      </c>
      <c r="U13" s="275">
        <f t="shared" si="1"/>
        <v>2.17</v>
      </c>
      <c r="V13" s="223">
        <f t="shared" si="2"/>
        <v>0.33999999999999986</v>
      </c>
      <c r="W13" s="223"/>
      <c r="X13" s="223"/>
      <c r="Y13" s="224"/>
      <c r="Z13" s="225"/>
      <c r="AA13" s="225"/>
      <c r="AB13" s="225"/>
      <c r="AC13" s="226"/>
      <c r="AD13" s="227">
        <f t="shared" si="3"/>
        <v>6.1199999999999997E-2</v>
      </c>
      <c r="AE13" s="227">
        <f t="shared" si="17"/>
        <v>0.16999999999999993</v>
      </c>
      <c r="AF13" s="227" t="s">
        <v>280</v>
      </c>
      <c r="AG13" s="229">
        <v>1</v>
      </c>
      <c r="AH13" s="227"/>
      <c r="AI13" s="227">
        <f t="shared" si="18"/>
        <v>0.33999999999999986</v>
      </c>
      <c r="AJ13" s="227">
        <f t="shared" si="4"/>
        <v>6.1199999999999997E-2</v>
      </c>
      <c r="AK13" s="227">
        <f t="shared" si="5"/>
        <v>0</v>
      </c>
      <c r="AL13" s="227">
        <f t="shared" si="6"/>
        <v>0.40119999999999983</v>
      </c>
      <c r="AM13" s="267">
        <f t="shared" si="19"/>
        <v>938808</v>
      </c>
      <c r="AN13" s="227">
        <f t="shared" si="7"/>
        <v>0.17</v>
      </c>
      <c r="AO13" s="230">
        <f t="shared" si="20"/>
        <v>397800</v>
      </c>
      <c r="AP13" s="273">
        <f t="shared" si="8"/>
        <v>4694</v>
      </c>
      <c r="AQ13" s="232">
        <f t="shared" si="9"/>
        <v>159597</v>
      </c>
      <c r="AR13" s="232">
        <f t="shared" si="10"/>
        <v>75105</v>
      </c>
      <c r="AS13" s="232">
        <f t="shared" si="11"/>
        <v>28164</v>
      </c>
      <c r="AT13" s="232">
        <f t="shared" si="12"/>
        <v>14082</v>
      </c>
      <c r="AU13" s="232">
        <f t="shared" si="13"/>
        <v>9388</v>
      </c>
      <c r="AV13" s="232">
        <f t="shared" si="14"/>
        <v>9388</v>
      </c>
      <c r="AW13" s="232">
        <f t="shared" si="15"/>
        <v>18776.16</v>
      </c>
      <c r="AX13" s="232">
        <f t="shared" si="16"/>
        <v>1238033</v>
      </c>
      <c r="AY13" s="233"/>
      <c r="AZ13" s="235"/>
    </row>
    <row r="14" spans="1:52" s="236" customFormat="1" ht="17.25" customHeight="1" x14ac:dyDescent="0.25">
      <c r="A14" s="221"/>
      <c r="B14" s="139"/>
      <c r="C14" s="139"/>
      <c r="D14" s="222"/>
      <c r="E14" s="223"/>
      <c r="F14" s="223"/>
      <c r="G14" s="224"/>
      <c r="H14" s="272"/>
      <c r="I14" s="226"/>
      <c r="J14" s="227"/>
      <c r="K14" s="274"/>
      <c r="L14" s="270"/>
      <c r="M14" s="271"/>
      <c r="N14" s="271"/>
      <c r="O14" s="224"/>
      <c r="P14" s="225"/>
      <c r="Q14" s="226"/>
      <c r="R14" s="225"/>
      <c r="S14" s="226"/>
      <c r="T14" s="227"/>
      <c r="U14" s="275"/>
      <c r="V14" s="223"/>
      <c r="W14" s="223"/>
      <c r="X14" s="223"/>
      <c r="Y14" s="224"/>
      <c r="Z14" s="225"/>
      <c r="AA14" s="225"/>
      <c r="AB14" s="225"/>
      <c r="AC14" s="226"/>
      <c r="AD14" s="227"/>
      <c r="AE14" s="227"/>
      <c r="AF14" s="227"/>
      <c r="AG14" s="229"/>
      <c r="AH14" s="227"/>
      <c r="AI14" s="227"/>
      <c r="AJ14" s="227"/>
      <c r="AK14" s="227"/>
      <c r="AL14" s="227"/>
      <c r="AM14" s="267"/>
      <c r="AN14" s="227"/>
      <c r="AO14" s="230"/>
      <c r="AP14" s="273"/>
      <c r="AQ14" s="232"/>
      <c r="AR14" s="232"/>
      <c r="AS14" s="232"/>
      <c r="AT14" s="232"/>
      <c r="AU14" s="232"/>
      <c r="AV14" s="232"/>
      <c r="AW14" s="232"/>
      <c r="AX14" s="232"/>
      <c r="AY14" s="233"/>
      <c r="AZ14" s="235"/>
    </row>
    <row r="15" spans="1:52" s="236" customFormat="1" ht="17.25" customHeight="1" x14ac:dyDescent="0.25">
      <c r="A15" s="221"/>
      <c r="B15" s="139"/>
      <c r="C15" s="139"/>
      <c r="D15" s="222"/>
      <c r="E15" s="223"/>
      <c r="F15" s="223"/>
      <c r="G15" s="224"/>
      <c r="H15" s="272"/>
      <c r="I15" s="226"/>
      <c r="J15" s="227"/>
      <c r="K15" s="274"/>
      <c r="L15" s="270"/>
      <c r="M15" s="271"/>
      <c r="N15" s="271"/>
      <c r="O15" s="224"/>
      <c r="P15" s="225"/>
      <c r="Q15" s="226"/>
      <c r="R15" s="225"/>
      <c r="S15" s="226"/>
      <c r="T15" s="227"/>
      <c r="U15" s="275"/>
      <c r="V15" s="223"/>
      <c r="W15" s="223"/>
      <c r="X15" s="223"/>
      <c r="Y15" s="224"/>
      <c r="Z15" s="225"/>
      <c r="AA15" s="225"/>
      <c r="AB15" s="225"/>
      <c r="AC15" s="226"/>
      <c r="AD15" s="227"/>
      <c r="AE15" s="227"/>
      <c r="AF15" s="227"/>
      <c r="AG15" s="229"/>
      <c r="AH15" s="227"/>
      <c r="AI15" s="227"/>
      <c r="AJ15" s="227"/>
      <c r="AK15" s="227"/>
      <c r="AL15" s="227"/>
      <c r="AM15" s="267"/>
      <c r="AN15" s="227"/>
      <c r="AO15" s="230"/>
      <c r="AP15" s="273"/>
      <c r="AQ15" s="232"/>
      <c r="AR15" s="232"/>
      <c r="AS15" s="232"/>
      <c r="AT15" s="232"/>
      <c r="AU15" s="232"/>
      <c r="AV15" s="232"/>
      <c r="AW15" s="232"/>
      <c r="AX15" s="232"/>
      <c r="AY15" s="233"/>
      <c r="AZ15" s="235"/>
    </row>
    <row r="16" spans="1:52" s="220" customFormat="1" ht="17.25" customHeight="1" x14ac:dyDescent="0.2">
      <c r="A16" s="416" t="s">
        <v>63</v>
      </c>
      <c r="B16" s="416"/>
      <c r="C16" s="211"/>
      <c r="D16" s="237">
        <f>SUM(D9:D15)</f>
        <v>20.5</v>
      </c>
      <c r="E16" s="237">
        <f t="shared" ref="E16:M16" si="21">SUM(E9:E15)</f>
        <v>0</v>
      </c>
      <c r="F16" s="237"/>
      <c r="G16" s="237"/>
      <c r="H16" s="237"/>
      <c r="I16" s="237"/>
      <c r="J16" s="240">
        <f t="shared" si="21"/>
        <v>4.5094000000000003</v>
      </c>
      <c r="K16" s="240">
        <f t="shared" si="21"/>
        <v>10.25</v>
      </c>
      <c r="L16" s="240">
        <f t="shared" si="21"/>
        <v>22.040000000000003</v>
      </c>
      <c r="M16" s="240">
        <f t="shared" si="21"/>
        <v>0</v>
      </c>
      <c r="N16" s="240"/>
      <c r="O16" s="240"/>
      <c r="P16" s="240"/>
      <c r="Q16" s="240"/>
      <c r="R16" s="240"/>
      <c r="S16" s="240"/>
      <c r="T16" s="240">
        <f t="shared" ref="T16:Z16" si="22">SUM(T9:T15)</f>
        <v>4.8479000000000001</v>
      </c>
      <c r="U16" s="240">
        <f t="shared" si="22"/>
        <v>11.020000000000001</v>
      </c>
      <c r="V16" s="239">
        <f t="shared" si="22"/>
        <v>1.5399999999999996</v>
      </c>
      <c r="W16" s="240">
        <f t="shared" si="22"/>
        <v>0</v>
      </c>
      <c r="X16" s="240">
        <f t="shared" si="22"/>
        <v>0</v>
      </c>
      <c r="Y16" s="240">
        <f t="shared" si="22"/>
        <v>0</v>
      </c>
      <c r="Z16" s="240">
        <f t="shared" si="22"/>
        <v>0</v>
      </c>
      <c r="AA16" s="240"/>
      <c r="AB16" s="240"/>
      <c r="AC16" s="240"/>
      <c r="AD16" s="240">
        <f>SUM(AD9:AD15)</f>
        <v>0.33849999999999997</v>
      </c>
      <c r="AE16" s="240">
        <f>SUM(AE9:AE15)</f>
        <v>0.7699999999999998</v>
      </c>
      <c r="AF16" s="240"/>
      <c r="AG16" s="240"/>
      <c r="AH16" s="240">
        <f t="shared" ref="AH16:AN16" si="23">SUM(AH9:AH15)</f>
        <v>0</v>
      </c>
      <c r="AI16" s="240">
        <f t="shared" si="23"/>
        <v>2.609999999999999</v>
      </c>
      <c r="AJ16" s="240">
        <f t="shared" si="23"/>
        <v>0.56140000000000001</v>
      </c>
      <c r="AK16" s="240">
        <f t="shared" si="23"/>
        <v>0</v>
      </c>
      <c r="AL16" s="240">
        <f t="shared" si="23"/>
        <v>3.1713999999999989</v>
      </c>
      <c r="AM16" s="183">
        <f t="shared" si="23"/>
        <v>7421076</v>
      </c>
      <c r="AN16" s="240">
        <f t="shared" si="23"/>
        <v>1.3049999999999999</v>
      </c>
      <c r="AO16" s="141">
        <f>SUM(AO9:AO15)</f>
        <v>3053700</v>
      </c>
      <c r="AP16" s="141">
        <f t="shared" ref="AP16:AX16" si="24">SUM(AP9:AP15)</f>
        <v>37106</v>
      </c>
      <c r="AQ16" s="141">
        <f t="shared" si="24"/>
        <v>1261583</v>
      </c>
      <c r="AR16" s="141">
        <f t="shared" si="24"/>
        <v>593686</v>
      </c>
      <c r="AS16" s="141">
        <f t="shared" si="24"/>
        <v>222632</v>
      </c>
      <c r="AT16" s="141">
        <f t="shared" si="24"/>
        <v>111316</v>
      </c>
      <c r="AU16" s="141">
        <f t="shared" si="24"/>
        <v>74211</v>
      </c>
      <c r="AV16" s="141">
        <f t="shared" si="24"/>
        <v>74211</v>
      </c>
      <c r="AW16" s="141">
        <f t="shared" si="24"/>
        <v>148421.51999999999</v>
      </c>
      <c r="AX16" s="141">
        <f t="shared" si="24"/>
        <v>9695563</v>
      </c>
      <c r="AY16" s="183"/>
      <c r="AZ16" s="127"/>
    </row>
    <row r="17" spans="1:53" s="189" customFormat="1" ht="4.5" customHeight="1" x14ac:dyDescent="0.3">
      <c r="A17" s="241"/>
      <c r="C17" s="8"/>
      <c r="D17" s="8"/>
      <c r="H17" s="190"/>
      <c r="J17" s="190"/>
      <c r="P17" s="190"/>
      <c r="Q17" s="190"/>
      <c r="R17" s="190"/>
      <c r="T17" s="190"/>
      <c r="U17" s="8"/>
      <c r="Z17" s="190"/>
      <c r="AA17" s="190"/>
      <c r="AB17" s="190"/>
      <c r="AD17" s="190"/>
      <c r="AE17" s="190"/>
      <c r="AF17" s="192"/>
      <c r="AG17" s="190"/>
      <c r="AH17" s="188"/>
      <c r="AI17" s="188"/>
      <c r="AJ17" s="188"/>
      <c r="AK17" s="188"/>
      <c r="AL17" s="188"/>
      <c r="AM17" s="193"/>
      <c r="AN17" s="188"/>
      <c r="AO17" s="194"/>
      <c r="AX17" s="242"/>
      <c r="AZ17" s="1"/>
    </row>
    <row r="18" spans="1:53" s="244" customFormat="1" x14ac:dyDescent="0.3">
      <c r="A18" s="410" t="s">
        <v>281</v>
      </c>
      <c r="B18" s="410"/>
      <c r="C18" s="410"/>
      <c r="D18" s="410"/>
      <c r="E18" s="410"/>
      <c r="F18" s="410"/>
      <c r="G18" s="410"/>
      <c r="H18" s="410"/>
      <c r="I18" s="410"/>
      <c r="J18" s="410"/>
      <c r="K18" s="410"/>
      <c r="L18" s="410"/>
      <c r="M18" s="410"/>
      <c r="N18" s="410"/>
      <c r="O18" s="410"/>
      <c r="P18" s="410"/>
      <c r="Q18" s="410"/>
      <c r="R18" s="410"/>
      <c r="S18" s="410"/>
      <c r="T18" s="410"/>
      <c r="U18" s="410"/>
      <c r="V18" s="410"/>
      <c r="W18" s="410"/>
      <c r="X18" s="410"/>
      <c r="Y18" s="410"/>
      <c r="Z18" s="410"/>
      <c r="AA18" s="410"/>
      <c r="AB18" s="410"/>
      <c r="AC18" s="410"/>
      <c r="AD18" s="410"/>
      <c r="AE18" s="410"/>
      <c r="AF18" s="410"/>
      <c r="AG18" s="410"/>
      <c r="AH18" s="410"/>
      <c r="AI18" s="410"/>
      <c r="AJ18" s="410"/>
      <c r="AK18" s="410"/>
      <c r="AL18" s="410"/>
      <c r="AM18" s="410"/>
      <c r="AN18" s="410"/>
      <c r="AO18" s="410"/>
      <c r="AP18" s="410"/>
      <c r="AQ18" s="410"/>
      <c r="AR18" s="410"/>
      <c r="AS18" s="410"/>
      <c r="AT18" s="410"/>
      <c r="AU18" s="410"/>
      <c r="AV18" s="410"/>
      <c r="AW18" s="410"/>
      <c r="AX18" s="243"/>
      <c r="AZ18" s="1"/>
    </row>
    <row r="19" spans="1:53" s="247" customFormat="1" x14ac:dyDescent="0.3">
      <c r="A19" s="246"/>
      <c r="C19" s="8"/>
      <c r="D19" s="8"/>
      <c r="J19" s="248"/>
      <c r="T19" s="248"/>
      <c r="U19" s="8"/>
      <c r="AD19" s="248"/>
      <c r="AE19" s="248"/>
      <c r="AF19" s="192"/>
      <c r="AG19" s="248"/>
      <c r="AM19" s="249"/>
      <c r="AO19" s="249"/>
      <c r="AR19" s="250"/>
      <c r="AT19" s="250" t="s">
        <v>282</v>
      </c>
      <c r="AU19" s="250"/>
      <c r="AV19" s="250"/>
      <c r="AW19" s="250"/>
      <c r="AX19" s="250"/>
      <c r="AY19" s="250"/>
      <c r="AZ19" s="1"/>
    </row>
    <row r="20" spans="1:53" s="142" customFormat="1" x14ac:dyDescent="0.3">
      <c r="A20" s="251"/>
      <c r="C20" s="405"/>
      <c r="D20" s="405"/>
      <c r="E20" s="405"/>
      <c r="F20" s="289"/>
      <c r="J20" s="252"/>
      <c r="N20" s="289"/>
      <c r="Q20" s="142" t="s">
        <v>257</v>
      </c>
      <c r="T20" s="252"/>
      <c r="U20" s="253"/>
      <c r="X20" s="289"/>
      <c r="AD20" s="252"/>
      <c r="AE20" s="252"/>
      <c r="AF20" s="337" t="s">
        <v>258</v>
      </c>
      <c r="AG20" s="337"/>
      <c r="AH20" s="337"/>
      <c r="AI20" s="337"/>
      <c r="AJ20" s="337"/>
      <c r="AK20" s="337"/>
      <c r="AL20" s="337"/>
      <c r="AM20" s="337"/>
      <c r="AO20" s="254"/>
      <c r="AR20" s="337"/>
      <c r="AS20" s="337"/>
      <c r="AU20" s="255" t="s">
        <v>259</v>
      </c>
      <c r="AV20" s="255"/>
      <c r="AW20" s="255"/>
      <c r="AX20" s="255"/>
      <c r="AY20" s="255"/>
      <c r="AZ20" s="1"/>
    </row>
    <row r="21" spans="1:53" s="189" customFormat="1" x14ac:dyDescent="0.3">
      <c r="A21" s="241"/>
      <c r="C21" s="411"/>
      <c r="D21" s="411"/>
      <c r="E21" s="411"/>
      <c r="F21" s="294"/>
      <c r="H21" s="190"/>
      <c r="J21" s="190"/>
      <c r="K21" s="188"/>
      <c r="L21" s="188"/>
      <c r="M21" s="188"/>
      <c r="N21" s="294"/>
      <c r="P21" s="190"/>
      <c r="Q21" s="190"/>
      <c r="R21" s="190"/>
      <c r="T21" s="190"/>
      <c r="U21" s="191"/>
      <c r="V21" s="188"/>
      <c r="W21" s="188"/>
      <c r="X21" s="294"/>
      <c r="Z21" s="190"/>
      <c r="AA21" s="190"/>
      <c r="AB21" s="190"/>
      <c r="AD21" s="190"/>
      <c r="AE21" s="190"/>
      <c r="AF21" s="412"/>
      <c r="AG21" s="412"/>
      <c r="AH21" s="412"/>
      <c r="AI21" s="412"/>
      <c r="AJ21" s="412"/>
      <c r="AK21" s="412"/>
      <c r="AL21" s="412"/>
      <c r="AM21" s="412"/>
      <c r="AN21" s="188"/>
      <c r="AO21" s="256"/>
      <c r="AR21" s="412"/>
      <c r="AS21" s="412"/>
      <c r="AT21" s="257"/>
      <c r="AX21" s="8"/>
      <c r="AZ21" s="1"/>
    </row>
    <row r="22" spans="1:53" s="189" customFormat="1" ht="45" customHeight="1" x14ac:dyDescent="0.3">
      <c r="A22" s="241"/>
      <c r="C22" s="8"/>
      <c r="D22" s="8"/>
      <c r="H22" s="190"/>
      <c r="J22" s="190"/>
      <c r="P22" s="190"/>
      <c r="Q22" s="190"/>
      <c r="R22" s="190"/>
      <c r="T22" s="190"/>
      <c r="U22" s="8"/>
      <c r="Z22" s="190"/>
      <c r="AA22" s="190"/>
      <c r="AB22" s="190"/>
      <c r="AD22" s="190"/>
      <c r="AE22" s="190"/>
      <c r="AF22" s="192"/>
      <c r="AL22" s="188"/>
      <c r="AM22" s="193"/>
      <c r="AN22" s="188"/>
      <c r="AO22" s="256"/>
      <c r="AZ22" s="1"/>
      <c r="BA22" s="258"/>
    </row>
    <row r="23" spans="1:53" s="142" customFormat="1" x14ac:dyDescent="0.3">
      <c r="A23" s="251"/>
      <c r="B23" s="405"/>
      <c r="C23" s="405"/>
      <c r="D23" s="405"/>
      <c r="E23" s="405"/>
      <c r="F23" s="405"/>
      <c r="G23" s="405"/>
      <c r="H23" s="405"/>
      <c r="I23" s="405"/>
      <c r="J23" s="405"/>
      <c r="K23" s="259"/>
      <c r="L23" s="259"/>
      <c r="M23" s="259"/>
      <c r="N23" s="255" t="s">
        <v>147</v>
      </c>
      <c r="O23" s="255"/>
      <c r="P23" s="255"/>
      <c r="Q23" s="255"/>
      <c r="R23" s="255"/>
      <c r="S23" s="255"/>
      <c r="T23" s="252"/>
      <c r="U23" s="260"/>
      <c r="V23" s="259"/>
      <c r="W23" s="259"/>
      <c r="X23" s="289"/>
      <c r="Z23" s="252"/>
      <c r="AA23" s="252"/>
      <c r="AB23" s="252"/>
      <c r="AD23" s="252"/>
      <c r="AE23" s="252"/>
      <c r="AF23" s="261"/>
      <c r="AG23" s="337" t="s">
        <v>147</v>
      </c>
      <c r="AH23" s="337"/>
      <c r="AI23" s="337"/>
      <c r="AJ23" s="337"/>
      <c r="AK23" s="337"/>
      <c r="AL23" s="337"/>
      <c r="AM23" s="262"/>
      <c r="AN23" s="259"/>
      <c r="AO23" s="254"/>
      <c r="AQ23" s="255"/>
      <c r="AR23" s="255"/>
      <c r="AS23" s="255"/>
      <c r="AT23" s="255"/>
      <c r="AU23" s="255" t="s">
        <v>228</v>
      </c>
      <c r="AV23" s="255"/>
      <c r="AW23" s="255"/>
      <c r="AX23" s="255"/>
      <c r="AZ23" s="1"/>
    </row>
    <row r="24" spans="1:53" s="189" customFormat="1" x14ac:dyDescent="0.3">
      <c r="A24" s="241"/>
      <c r="B24" s="142"/>
      <c r="C24" s="253"/>
      <c r="D24" s="253"/>
      <c r="E24" s="142"/>
      <c r="F24" s="142"/>
      <c r="G24" s="142"/>
      <c r="H24" s="252"/>
      <c r="I24" s="142"/>
      <c r="J24" s="252"/>
      <c r="K24" s="142"/>
      <c r="L24" s="142"/>
      <c r="M24" s="142"/>
      <c r="N24" s="142"/>
      <c r="O24" s="142"/>
      <c r="P24" s="252"/>
      <c r="Q24" s="252"/>
      <c r="R24" s="252"/>
      <c r="S24" s="142"/>
      <c r="T24" s="252"/>
      <c r="U24" s="253"/>
      <c r="V24" s="142"/>
      <c r="W24" s="142"/>
      <c r="X24" s="142"/>
      <c r="Y24" s="142"/>
      <c r="Z24" s="252"/>
      <c r="AA24" s="252"/>
      <c r="AB24" s="252"/>
      <c r="AC24" s="142"/>
      <c r="AD24" s="252"/>
      <c r="AE24" s="252"/>
      <c r="AF24" s="261"/>
      <c r="AG24" s="252"/>
      <c r="AH24" s="259"/>
      <c r="AI24" s="259"/>
      <c r="AJ24" s="259"/>
      <c r="AK24" s="259"/>
      <c r="AL24" s="259"/>
      <c r="AM24" s="262"/>
      <c r="AN24" s="259"/>
      <c r="AO24" s="194"/>
      <c r="AZ24" s="1"/>
    </row>
    <row r="25" spans="1:53" s="189" customFormat="1" x14ac:dyDescent="0.3">
      <c r="A25" s="241"/>
      <c r="C25" s="8"/>
      <c r="D25" s="8"/>
      <c r="J25" s="190"/>
      <c r="T25" s="190"/>
      <c r="U25" s="8"/>
      <c r="AD25" s="190"/>
      <c r="AE25" s="190"/>
      <c r="AF25" s="192"/>
      <c r="AG25" s="190"/>
      <c r="AM25" s="194"/>
      <c r="AO25" s="194"/>
      <c r="AZ25" s="1"/>
    </row>
    <row r="26" spans="1:53" s="189" customFormat="1" x14ac:dyDescent="0.3">
      <c r="A26" s="241"/>
      <c r="C26" s="8"/>
      <c r="D26" s="8"/>
      <c r="H26" s="190"/>
      <c r="J26" s="190"/>
      <c r="P26" s="190"/>
      <c r="Q26" s="190"/>
      <c r="R26" s="190"/>
      <c r="T26" s="190"/>
      <c r="U26" s="8"/>
      <c r="Z26" s="190"/>
      <c r="AA26" s="190"/>
      <c r="AB26" s="190"/>
      <c r="AD26" s="190"/>
      <c r="AE26" s="190"/>
      <c r="AF26" s="192"/>
      <c r="AG26" s="190"/>
      <c r="AH26" s="188"/>
      <c r="AI26" s="188"/>
      <c r="AJ26" s="188"/>
      <c r="AK26" s="188"/>
      <c r="AL26" s="188"/>
      <c r="AM26" s="193"/>
      <c r="AN26" s="188"/>
      <c r="AO26" s="194"/>
      <c r="AZ26" s="1"/>
    </row>
    <row r="29" spans="1:53" x14ac:dyDescent="0.3">
      <c r="AZ29" s="264"/>
    </row>
    <row r="31" spans="1:53" ht="19.5" customHeight="1" x14ac:dyDescent="0.3"/>
    <row r="32" spans="1:53" ht="19.5" customHeight="1" x14ac:dyDescent="0.3"/>
    <row r="57" spans="1:52" s="189" customFormat="1" x14ac:dyDescent="0.3">
      <c r="A57" s="389" t="s">
        <v>28</v>
      </c>
      <c r="B57" s="389"/>
      <c r="C57" s="389"/>
      <c r="D57" s="389"/>
      <c r="E57" s="389"/>
      <c r="F57" s="389"/>
      <c r="G57" s="389"/>
      <c r="H57" s="389"/>
      <c r="I57" s="389"/>
      <c r="J57" s="389"/>
      <c r="K57" s="188"/>
      <c r="L57" s="188"/>
      <c r="M57" s="188"/>
      <c r="N57" s="188"/>
      <c r="O57" s="188"/>
      <c r="P57" s="188"/>
      <c r="Q57" s="188"/>
      <c r="R57" s="188"/>
      <c r="T57" s="190"/>
      <c r="U57" s="191"/>
      <c r="V57" s="188"/>
      <c r="W57" s="188"/>
      <c r="X57" s="188"/>
      <c r="Y57" s="188"/>
      <c r="Z57" s="188"/>
      <c r="AA57" s="188"/>
      <c r="AB57" s="188"/>
      <c r="AD57" s="190"/>
      <c r="AE57" s="190"/>
      <c r="AF57" s="192"/>
      <c r="AG57" s="190"/>
      <c r="AH57" s="188"/>
      <c r="AI57" s="188"/>
      <c r="AJ57" s="188"/>
      <c r="AK57" s="188"/>
      <c r="AL57" s="188"/>
      <c r="AM57" s="193"/>
      <c r="AN57" s="188"/>
      <c r="AO57" s="194"/>
      <c r="AX57" s="289"/>
      <c r="AZ57" s="3"/>
    </row>
    <row r="58" spans="1:52" s="189" customFormat="1" x14ac:dyDescent="0.3">
      <c r="A58" s="390" t="s">
        <v>30</v>
      </c>
      <c r="B58" s="390"/>
      <c r="C58" s="390"/>
      <c r="D58" s="390"/>
      <c r="E58" s="390"/>
      <c r="F58" s="390"/>
      <c r="G58" s="390"/>
      <c r="H58" s="390"/>
      <c r="I58" s="390"/>
      <c r="J58" s="390"/>
      <c r="K58" s="188"/>
      <c r="L58" s="188"/>
      <c r="M58" s="188"/>
      <c r="N58" s="188"/>
      <c r="O58" s="188"/>
      <c r="P58" s="188"/>
      <c r="Q58" s="188"/>
      <c r="R58" s="188"/>
      <c r="T58" s="190"/>
      <c r="U58" s="191"/>
      <c r="V58" s="188"/>
      <c r="W58" s="188"/>
      <c r="X58" s="188"/>
      <c r="Y58" s="188"/>
      <c r="Z58" s="188"/>
      <c r="AA58" s="188"/>
      <c r="AB58" s="188"/>
      <c r="AD58" s="190"/>
      <c r="AE58" s="190"/>
      <c r="AF58" s="192"/>
      <c r="AG58" s="190"/>
      <c r="AH58" s="188"/>
      <c r="AI58" s="188"/>
      <c r="AJ58" s="188"/>
      <c r="AK58" s="188"/>
      <c r="AL58" s="188"/>
      <c r="AM58" s="193"/>
      <c r="AN58" s="188"/>
      <c r="AO58" s="194"/>
      <c r="AZ58" s="3"/>
    </row>
    <row r="59" spans="1:52" s="195" customFormat="1" ht="63.75" customHeight="1" x14ac:dyDescent="0.3">
      <c r="A59" s="391" t="s">
        <v>260</v>
      </c>
      <c r="B59" s="391"/>
      <c r="C59" s="391"/>
      <c r="D59" s="391"/>
      <c r="E59" s="391"/>
      <c r="F59" s="391"/>
      <c r="G59" s="391"/>
      <c r="H59" s="391"/>
      <c r="I59" s="391"/>
      <c r="J59" s="391"/>
      <c r="K59" s="391"/>
      <c r="L59" s="391"/>
      <c r="M59" s="391"/>
      <c r="N59" s="391"/>
      <c r="O59" s="391"/>
      <c r="P59" s="391"/>
      <c r="Q59" s="391"/>
      <c r="R59" s="391"/>
      <c r="S59" s="391"/>
      <c r="T59" s="391"/>
      <c r="U59" s="391"/>
      <c r="V59" s="391"/>
      <c r="W59" s="391"/>
      <c r="X59" s="391"/>
      <c r="Y59" s="391"/>
      <c r="Z59" s="391"/>
      <c r="AA59" s="391"/>
      <c r="AB59" s="391"/>
      <c r="AC59" s="391"/>
      <c r="AD59" s="391"/>
      <c r="AE59" s="391"/>
      <c r="AF59" s="391"/>
      <c r="AG59" s="391"/>
      <c r="AH59" s="391"/>
      <c r="AI59" s="391"/>
      <c r="AJ59" s="391"/>
      <c r="AK59" s="391"/>
      <c r="AL59" s="391"/>
      <c r="AM59" s="391"/>
      <c r="AN59" s="391"/>
      <c r="AO59" s="391"/>
      <c r="AP59" s="391"/>
      <c r="AQ59" s="391"/>
      <c r="AR59" s="391"/>
      <c r="AS59" s="391"/>
      <c r="AT59" s="391"/>
      <c r="AU59" s="391"/>
      <c r="AV59" s="391"/>
      <c r="AW59" s="391"/>
      <c r="AX59" s="391"/>
      <c r="AY59" s="391"/>
      <c r="AZ59" s="3"/>
    </row>
    <row r="60" spans="1:52" s="198" customFormat="1" ht="20.25" customHeight="1" x14ac:dyDescent="0.2">
      <c r="A60" s="392" t="s">
        <v>240</v>
      </c>
      <c r="B60" s="392" t="s">
        <v>31</v>
      </c>
      <c r="C60" s="387" t="s">
        <v>32</v>
      </c>
      <c r="D60" s="394" t="s">
        <v>241</v>
      </c>
      <c r="E60" s="395"/>
      <c r="F60" s="395"/>
      <c r="G60" s="395"/>
      <c r="H60" s="395"/>
      <c r="I60" s="395"/>
      <c r="J60" s="395"/>
      <c r="K60" s="396"/>
      <c r="L60" s="394" t="s">
        <v>242</v>
      </c>
      <c r="M60" s="395"/>
      <c r="N60" s="395"/>
      <c r="O60" s="395"/>
      <c r="P60" s="395"/>
      <c r="Q60" s="395"/>
      <c r="R60" s="395"/>
      <c r="S60" s="395"/>
      <c r="T60" s="395"/>
      <c r="U60" s="396"/>
      <c r="V60" s="397" t="s">
        <v>243</v>
      </c>
      <c r="W60" s="398"/>
      <c r="X60" s="398"/>
      <c r="Y60" s="398"/>
      <c r="Z60" s="398"/>
      <c r="AA60" s="398"/>
      <c r="AB60" s="398"/>
      <c r="AC60" s="398"/>
      <c r="AD60" s="398"/>
      <c r="AE60" s="399"/>
      <c r="AF60" s="400" t="s">
        <v>244</v>
      </c>
      <c r="AG60" s="384" t="s">
        <v>245</v>
      </c>
      <c r="AH60" s="406" t="s">
        <v>246</v>
      </c>
      <c r="AI60" s="407" t="s">
        <v>247</v>
      </c>
      <c r="AJ60" s="407" t="s">
        <v>248</v>
      </c>
      <c r="AK60" s="407" t="s">
        <v>249</v>
      </c>
      <c r="AL60" s="388" t="s">
        <v>250</v>
      </c>
      <c r="AM60" s="387" t="s">
        <v>251</v>
      </c>
      <c r="AN60" s="388" t="s">
        <v>246</v>
      </c>
      <c r="AO60" s="408" t="s">
        <v>52</v>
      </c>
      <c r="AP60" s="387" t="s">
        <v>252</v>
      </c>
      <c r="AQ60" s="403" t="s">
        <v>40</v>
      </c>
      <c r="AR60" s="403"/>
      <c r="AS60" s="403" t="s">
        <v>41</v>
      </c>
      <c r="AT60" s="403"/>
      <c r="AU60" s="403" t="s">
        <v>42</v>
      </c>
      <c r="AV60" s="403"/>
      <c r="AW60" s="403" t="s">
        <v>43</v>
      </c>
      <c r="AX60" s="387" t="s">
        <v>46</v>
      </c>
      <c r="AY60" s="387" t="s">
        <v>47</v>
      </c>
      <c r="AZ60" s="3"/>
    </row>
    <row r="61" spans="1:52" s="201" customFormat="1" ht="25.5" customHeight="1" x14ac:dyDescent="0.2">
      <c r="A61" s="393"/>
      <c r="B61" s="392"/>
      <c r="C61" s="387"/>
      <c r="D61" s="384" t="s">
        <v>33</v>
      </c>
      <c r="E61" s="384" t="s">
        <v>34</v>
      </c>
      <c r="F61" s="384" t="s">
        <v>34</v>
      </c>
      <c r="G61" s="394" t="s">
        <v>35</v>
      </c>
      <c r="H61" s="396"/>
      <c r="I61" s="384" t="s">
        <v>35</v>
      </c>
      <c r="J61" s="384"/>
      <c r="K61" s="384" t="s">
        <v>253</v>
      </c>
      <c r="L61" s="384" t="s">
        <v>33</v>
      </c>
      <c r="M61" s="384" t="s">
        <v>34</v>
      </c>
      <c r="N61" s="384" t="s">
        <v>34</v>
      </c>
      <c r="O61" s="384" t="s">
        <v>35</v>
      </c>
      <c r="P61" s="384"/>
      <c r="Q61" s="384" t="s">
        <v>35</v>
      </c>
      <c r="R61" s="384"/>
      <c r="S61" s="384" t="s">
        <v>35</v>
      </c>
      <c r="T61" s="384"/>
      <c r="U61" s="384" t="s">
        <v>253</v>
      </c>
      <c r="V61" s="384" t="s">
        <v>33</v>
      </c>
      <c r="W61" s="385" t="s">
        <v>34</v>
      </c>
      <c r="X61" s="384" t="s">
        <v>34</v>
      </c>
      <c r="Y61" s="384" t="s">
        <v>35</v>
      </c>
      <c r="Z61" s="384"/>
      <c r="AA61" s="296"/>
      <c r="AB61" s="296"/>
      <c r="AC61" s="199" t="s">
        <v>35</v>
      </c>
      <c r="AD61" s="199"/>
      <c r="AE61" s="199"/>
      <c r="AF61" s="401"/>
      <c r="AG61" s="384"/>
      <c r="AH61" s="406"/>
      <c r="AI61" s="407"/>
      <c r="AJ61" s="407"/>
      <c r="AK61" s="407"/>
      <c r="AL61" s="388"/>
      <c r="AM61" s="387"/>
      <c r="AN61" s="388"/>
      <c r="AO61" s="408"/>
      <c r="AP61" s="387"/>
      <c r="AQ61" s="403"/>
      <c r="AR61" s="403"/>
      <c r="AS61" s="403"/>
      <c r="AT61" s="403"/>
      <c r="AU61" s="403"/>
      <c r="AV61" s="403"/>
      <c r="AW61" s="403"/>
      <c r="AX61" s="387"/>
      <c r="AY61" s="387"/>
      <c r="AZ61" s="3"/>
    </row>
    <row r="62" spans="1:52" s="207" customFormat="1" ht="72.75" customHeight="1" x14ac:dyDescent="0.2">
      <c r="A62" s="393"/>
      <c r="B62" s="392"/>
      <c r="C62" s="387"/>
      <c r="D62" s="404"/>
      <c r="E62" s="404"/>
      <c r="F62" s="404"/>
      <c r="G62" s="297" t="s">
        <v>48</v>
      </c>
      <c r="H62" s="202" t="s">
        <v>254</v>
      </c>
      <c r="I62" s="297" t="s">
        <v>48</v>
      </c>
      <c r="J62" s="202" t="s">
        <v>255</v>
      </c>
      <c r="K62" s="404"/>
      <c r="L62" s="404"/>
      <c r="M62" s="404"/>
      <c r="N62" s="404"/>
      <c r="O62" s="297" t="s">
        <v>48</v>
      </c>
      <c r="P62" s="202" t="s">
        <v>49</v>
      </c>
      <c r="Q62" s="297" t="s">
        <v>48</v>
      </c>
      <c r="R62" s="202" t="s">
        <v>49</v>
      </c>
      <c r="S62" s="297" t="s">
        <v>48</v>
      </c>
      <c r="T62" s="202" t="s">
        <v>50</v>
      </c>
      <c r="U62" s="404"/>
      <c r="V62" s="404"/>
      <c r="W62" s="386"/>
      <c r="X62" s="404"/>
      <c r="Y62" s="297" t="s">
        <v>48</v>
      </c>
      <c r="Z62" s="202" t="s">
        <v>49</v>
      </c>
      <c r="AA62" s="203" t="s">
        <v>48</v>
      </c>
      <c r="AB62" s="204" t="s">
        <v>256</v>
      </c>
      <c r="AC62" s="203" t="s">
        <v>48</v>
      </c>
      <c r="AD62" s="204" t="s">
        <v>50</v>
      </c>
      <c r="AE62" s="205" t="s">
        <v>253</v>
      </c>
      <c r="AF62" s="402"/>
      <c r="AG62" s="384"/>
      <c r="AH62" s="406"/>
      <c r="AI62" s="407"/>
      <c r="AJ62" s="407"/>
      <c r="AK62" s="407"/>
      <c r="AL62" s="388"/>
      <c r="AM62" s="387"/>
      <c r="AN62" s="388"/>
      <c r="AO62" s="408"/>
      <c r="AP62" s="387"/>
      <c r="AQ62" s="296" t="s">
        <v>68</v>
      </c>
      <c r="AR62" s="296" t="s">
        <v>53</v>
      </c>
      <c r="AS62" s="296" t="s">
        <v>54</v>
      </c>
      <c r="AT62" s="296" t="s">
        <v>55</v>
      </c>
      <c r="AU62" s="296" t="s">
        <v>56</v>
      </c>
      <c r="AV62" s="296" t="s">
        <v>57</v>
      </c>
      <c r="AW62" s="296" t="s">
        <v>58</v>
      </c>
      <c r="AX62" s="387"/>
      <c r="AY62" s="387"/>
      <c r="AZ62" s="206"/>
    </row>
    <row r="63" spans="1:52" s="210" customFormat="1" ht="11.25" customHeight="1" x14ac:dyDescent="0.2">
      <c r="A63" s="291" t="s">
        <v>1</v>
      </c>
      <c r="B63" s="291" t="s">
        <v>2</v>
      </c>
      <c r="C63" s="291" t="s">
        <v>59</v>
      </c>
      <c r="D63" s="291">
        <v>1</v>
      </c>
      <c r="E63" s="291">
        <v>2</v>
      </c>
      <c r="F63" s="291">
        <v>2</v>
      </c>
      <c r="G63" s="413">
        <v>3</v>
      </c>
      <c r="H63" s="414"/>
      <c r="I63" s="409">
        <v>3</v>
      </c>
      <c r="J63" s="409"/>
      <c r="K63" s="291">
        <v>4</v>
      </c>
      <c r="L63" s="291">
        <v>5</v>
      </c>
      <c r="M63" s="291">
        <v>2</v>
      </c>
      <c r="N63" s="291">
        <v>6</v>
      </c>
      <c r="O63" s="409">
        <v>3</v>
      </c>
      <c r="P63" s="409"/>
      <c r="Q63" s="291"/>
      <c r="R63" s="291"/>
      <c r="S63" s="409">
        <v>7</v>
      </c>
      <c r="T63" s="409"/>
      <c r="U63" s="291">
        <v>8</v>
      </c>
      <c r="V63" s="291">
        <v>9</v>
      </c>
      <c r="W63" s="291">
        <v>2</v>
      </c>
      <c r="X63" s="291"/>
      <c r="Y63" s="409">
        <v>3</v>
      </c>
      <c r="Z63" s="409"/>
      <c r="AA63" s="291"/>
      <c r="AB63" s="291"/>
      <c r="AC63" s="409">
        <v>10</v>
      </c>
      <c r="AD63" s="409"/>
      <c r="AE63" s="208">
        <v>11</v>
      </c>
      <c r="AF63" s="291">
        <v>12</v>
      </c>
      <c r="AG63" s="208">
        <v>13</v>
      </c>
      <c r="AH63" s="291">
        <v>14</v>
      </c>
      <c r="AI63" s="208">
        <v>15</v>
      </c>
      <c r="AJ63" s="291">
        <v>16</v>
      </c>
      <c r="AK63" s="291"/>
      <c r="AL63" s="208">
        <v>17</v>
      </c>
      <c r="AM63" s="291">
        <v>18</v>
      </c>
      <c r="AN63" s="208">
        <v>19</v>
      </c>
      <c r="AO63" s="291">
        <v>20</v>
      </c>
      <c r="AP63" s="208">
        <v>21</v>
      </c>
      <c r="AQ63" s="291">
        <v>22</v>
      </c>
      <c r="AR63" s="208">
        <v>23</v>
      </c>
      <c r="AS63" s="291">
        <v>24</v>
      </c>
      <c r="AT63" s="208">
        <v>25</v>
      </c>
      <c r="AU63" s="291">
        <v>26</v>
      </c>
      <c r="AV63" s="208">
        <v>27</v>
      </c>
      <c r="AW63" s="291">
        <v>28</v>
      </c>
      <c r="AX63" s="291">
        <v>32</v>
      </c>
      <c r="AY63" s="291" t="s">
        <v>60</v>
      </c>
      <c r="AZ63" s="3"/>
    </row>
    <row r="64" spans="1:52" s="220" customFormat="1" ht="20.25" customHeight="1" x14ac:dyDescent="0.3">
      <c r="A64" s="293" t="s">
        <v>61</v>
      </c>
      <c r="B64" s="211" t="s">
        <v>62</v>
      </c>
      <c r="C64" s="211"/>
      <c r="D64" s="212"/>
      <c r="E64" s="212"/>
      <c r="F64" s="212"/>
      <c r="G64" s="211"/>
      <c r="H64" s="213"/>
      <c r="I64" s="211"/>
      <c r="J64" s="214"/>
      <c r="K64" s="214"/>
      <c r="L64" s="215"/>
      <c r="M64" s="214"/>
      <c r="N64" s="214"/>
      <c r="O64" s="214"/>
      <c r="P64" s="214"/>
      <c r="Q64" s="214"/>
      <c r="R64" s="214"/>
      <c r="S64" s="211"/>
      <c r="T64" s="214"/>
      <c r="U64" s="214"/>
      <c r="V64" s="212"/>
      <c r="W64" s="211"/>
      <c r="X64" s="212"/>
      <c r="Y64" s="211"/>
      <c r="Z64" s="213"/>
      <c r="AA64" s="213"/>
      <c r="AB64" s="213"/>
      <c r="AC64" s="211"/>
      <c r="AD64" s="214"/>
      <c r="AE64" s="214"/>
      <c r="AF64" s="214"/>
      <c r="AG64" s="214"/>
      <c r="AH64" s="216"/>
      <c r="AI64" s="216"/>
      <c r="AJ64" s="216"/>
      <c r="AK64" s="216"/>
      <c r="AL64" s="216"/>
      <c r="AM64" s="217"/>
      <c r="AN64" s="216"/>
      <c r="AO64" s="217"/>
      <c r="AP64" s="217"/>
      <c r="AQ64" s="217"/>
      <c r="AR64" s="217"/>
      <c r="AS64" s="217"/>
      <c r="AT64" s="217"/>
      <c r="AU64" s="217"/>
      <c r="AV64" s="217"/>
      <c r="AW64" s="217"/>
      <c r="AX64" s="217"/>
      <c r="AY64" s="217"/>
      <c r="AZ64" s="31"/>
    </row>
    <row r="65" spans="1:53" s="236" customFormat="1" ht="17.25" customHeight="1" x14ac:dyDescent="0.25">
      <c r="A65" s="221">
        <v>1</v>
      </c>
      <c r="B65" s="139" t="s">
        <v>261</v>
      </c>
      <c r="C65" s="139" t="s">
        <v>225</v>
      </c>
      <c r="D65" s="222">
        <v>4.32</v>
      </c>
      <c r="E65" s="223"/>
      <c r="F65" s="223">
        <v>0.5</v>
      </c>
      <c r="G65" s="224"/>
      <c r="H65" s="225"/>
      <c r="I65" s="226">
        <v>0.21</v>
      </c>
      <c r="J65" s="227">
        <f t="shared" ref="J65:J66" si="25">ROUND((D65+F65)*I65,4)</f>
        <v>1.0122</v>
      </c>
      <c r="K65" s="228">
        <f t="shared" ref="K65:K66" si="26">ROUND((D65+F65)*0.5,4)</f>
        <v>2.41</v>
      </c>
      <c r="L65" s="222">
        <v>4.34</v>
      </c>
      <c r="M65" s="223"/>
      <c r="N65" s="223">
        <v>0.5</v>
      </c>
      <c r="O65" s="224"/>
      <c r="P65" s="225"/>
      <c r="Q65" s="226"/>
      <c r="R65" s="225"/>
      <c r="S65" s="226">
        <v>0.21</v>
      </c>
      <c r="T65" s="227">
        <f t="shared" ref="T65:T66" si="27">ROUND((L65+N65)*S65,4)</f>
        <v>1.0164</v>
      </c>
      <c r="U65" s="266">
        <f t="shared" ref="U65:U66" si="28">ROUND((L65+N65+R65)*0.5,4)</f>
        <v>2.42</v>
      </c>
      <c r="V65" s="223">
        <f t="shared" ref="V65:V66" si="29">L65-D65</f>
        <v>1.9999999999999574E-2</v>
      </c>
      <c r="W65" s="223"/>
      <c r="X65" s="223"/>
      <c r="Y65" s="224"/>
      <c r="Z65" s="225"/>
      <c r="AA65" s="225"/>
      <c r="AB65" s="225"/>
      <c r="AC65" s="226"/>
      <c r="AD65" s="227">
        <f t="shared" ref="AD65:AD66" si="30">ROUND((T65-J65),4)</f>
        <v>4.1999999999999997E-3</v>
      </c>
      <c r="AE65" s="227">
        <f t="shared" ref="AE65:AE66" si="31">U65-K65</f>
        <v>9.9999999999997868E-3</v>
      </c>
      <c r="AF65" s="227" t="s">
        <v>262</v>
      </c>
      <c r="AG65" s="229">
        <v>1</v>
      </c>
      <c r="AH65" s="227"/>
      <c r="AI65" s="227">
        <f t="shared" ref="AI65:AI66" si="32">(V65+AB65)*AG65</f>
        <v>1.9999999999999574E-2</v>
      </c>
      <c r="AJ65" s="227">
        <f t="shared" ref="AJ65:AJ66" si="33">(AD65)*AG65</f>
        <v>4.1999999999999997E-3</v>
      </c>
      <c r="AK65" s="229">
        <f t="shared" ref="AK65:AK66" si="34">AB65*AG65</f>
        <v>0</v>
      </c>
      <c r="AL65" s="227">
        <f t="shared" ref="AL65:AL66" si="35">AI65+AJ65+AK65</f>
        <v>2.4199999999999573E-2</v>
      </c>
      <c r="AM65" s="267">
        <f t="shared" ref="AM65:AM66" si="36">ROUND(AL65*1800000,0)</f>
        <v>43560</v>
      </c>
      <c r="AN65" s="227">
        <f t="shared" ref="AN65:AN66" si="37">ROUND(AE65*AG65,4)</f>
        <v>0.01</v>
      </c>
      <c r="AO65" s="267">
        <f t="shared" ref="AO65:AO66" si="38">ROUND((AN65*1800000),0)</f>
        <v>18000</v>
      </c>
      <c r="AP65" s="232">
        <f t="shared" ref="AP65:AP66" si="39">ROUND((AM65*0.5/100),0)</f>
        <v>218</v>
      </c>
      <c r="AQ65" s="232">
        <f t="shared" ref="AQ65:AQ66" si="40">ROUND((AM65*17/100),0)</f>
        <v>7405</v>
      </c>
      <c r="AR65" s="232">
        <f t="shared" ref="AR65:AR66" si="41">ROUND((AM65*8/100),0)</f>
        <v>3485</v>
      </c>
      <c r="AS65" s="232">
        <f t="shared" ref="AS65:AS66" si="42">ROUND((AM65*3/100),0)</f>
        <v>1307</v>
      </c>
      <c r="AT65" s="232">
        <f t="shared" ref="AT65:AT66" si="43">ROUND((AM65*1.5/100),0)</f>
        <v>653</v>
      </c>
      <c r="AU65" s="232">
        <f t="shared" ref="AU65:AU66" si="44">ROUND((AM65/100),0)</f>
        <v>436</v>
      </c>
      <c r="AV65" s="232">
        <f t="shared" ref="AV65:AV66" si="45">ROUND((AM65/100),0)</f>
        <v>436</v>
      </c>
      <c r="AW65" s="232">
        <f t="shared" ref="AW65:AW66" si="46">AM65*2/100</f>
        <v>871.2</v>
      </c>
      <c r="AX65" s="232">
        <f t="shared" ref="AX65:AX66" si="47">ROUND((AM65+AO65-AR65-AT65-AV65),0)</f>
        <v>56986</v>
      </c>
      <c r="AY65" s="233"/>
      <c r="AZ65" s="235"/>
    </row>
    <row r="66" spans="1:53" s="236" customFormat="1" ht="17.25" customHeight="1" x14ac:dyDescent="0.25">
      <c r="A66" s="221">
        <v>2</v>
      </c>
      <c r="B66" s="139" t="s">
        <v>261</v>
      </c>
      <c r="C66" s="139" t="s">
        <v>225</v>
      </c>
      <c r="D66" s="222">
        <v>4.32</v>
      </c>
      <c r="E66" s="223"/>
      <c r="F66" s="223">
        <v>0.5</v>
      </c>
      <c r="G66" s="224"/>
      <c r="H66" s="225"/>
      <c r="I66" s="226">
        <v>0.22</v>
      </c>
      <c r="J66" s="227">
        <f t="shared" si="25"/>
        <v>1.0604</v>
      </c>
      <c r="K66" s="228">
        <f t="shared" si="26"/>
        <v>2.41</v>
      </c>
      <c r="L66" s="222">
        <v>4.34</v>
      </c>
      <c r="M66" s="223"/>
      <c r="N66" s="223">
        <v>0.5</v>
      </c>
      <c r="O66" s="224"/>
      <c r="P66" s="225"/>
      <c r="Q66" s="226"/>
      <c r="R66" s="225"/>
      <c r="S66" s="226">
        <v>0.22</v>
      </c>
      <c r="T66" s="227">
        <f t="shared" si="27"/>
        <v>1.0648</v>
      </c>
      <c r="U66" s="266">
        <f t="shared" si="28"/>
        <v>2.42</v>
      </c>
      <c r="V66" s="223">
        <f t="shared" si="29"/>
        <v>1.9999999999999574E-2</v>
      </c>
      <c r="W66" s="223"/>
      <c r="X66" s="223"/>
      <c r="Y66" s="224"/>
      <c r="Z66" s="225"/>
      <c r="AA66" s="225"/>
      <c r="AB66" s="225"/>
      <c r="AC66" s="226"/>
      <c r="AD66" s="227">
        <f t="shared" si="30"/>
        <v>4.4000000000000003E-3</v>
      </c>
      <c r="AE66" s="227">
        <f t="shared" si="31"/>
        <v>9.9999999999997868E-3</v>
      </c>
      <c r="AF66" s="227" t="s">
        <v>263</v>
      </c>
      <c r="AG66" s="229">
        <v>4</v>
      </c>
      <c r="AH66" s="227"/>
      <c r="AI66" s="227">
        <f t="shared" si="32"/>
        <v>7.9999999999998295E-2</v>
      </c>
      <c r="AJ66" s="227">
        <f t="shared" si="33"/>
        <v>1.7600000000000001E-2</v>
      </c>
      <c r="AK66" s="229">
        <f t="shared" si="34"/>
        <v>0</v>
      </c>
      <c r="AL66" s="227">
        <f t="shared" si="35"/>
        <v>9.7599999999998299E-2</v>
      </c>
      <c r="AM66" s="267">
        <f t="shared" si="36"/>
        <v>175680</v>
      </c>
      <c r="AN66" s="227">
        <f t="shared" si="37"/>
        <v>0.04</v>
      </c>
      <c r="AO66" s="267">
        <f t="shared" si="38"/>
        <v>72000</v>
      </c>
      <c r="AP66" s="232">
        <f t="shared" si="39"/>
        <v>878</v>
      </c>
      <c r="AQ66" s="232">
        <f t="shared" si="40"/>
        <v>29866</v>
      </c>
      <c r="AR66" s="232">
        <f t="shared" si="41"/>
        <v>14054</v>
      </c>
      <c r="AS66" s="232">
        <f t="shared" si="42"/>
        <v>5270</v>
      </c>
      <c r="AT66" s="232">
        <f t="shared" si="43"/>
        <v>2635</v>
      </c>
      <c r="AU66" s="232">
        <f t="shared" si="44"/>
        <v>1757</v>
      </c>
      <c r="AV66" s="232">
        <f t="shared" si="45"/>
        <v>1757</v>
      </c>
      <c r="AW66" s="232">
        <f t="shared" si="46"/>
        <v>3513.6</v>
      </c>
      <c r="AX66" s="232">
        <f t="shared" si="47"/>
        <v>229234</v>
      </c>
      <c r="AY66" s="233"/>
      <c r="AZ66" s="235"/>
    </row>
    <row r="67" spans="1:53" s="220" customFormat="1" ht="17.25" customHeight="1" x14ac:dyDescent="0.2">
      <c r="A67" s="416" t="s">
        <v>63</v>
      </c>
      <c r="B67" s="416"/>
      <c r="C67" s="211"/>
      <c r="D67" s="237">
        <f>SUM(D65:D66)</f>
        <v>8.64</v>
      </c>
      <c r="E67" s="237">
        <f>SUM(E65:E66)</f>
        <v>0</v>
      </c>
      <c r="F67" s="237">
        <f>SUM(F65:F66)</f>
        <v>1</v>
      </c>
      <c r="G67" s="237">
        <f>SUM(G65:G66)</f>
        <v>0</v>
      </c>
      <c r="H67" s="237"/>
      <c r="I67" s="237"/>
      <c r="J67" s="240">
        <f t="shared" ref="J67:P67" si="48">SUM(J65:J66)</f>
        <v>2.0726</v>
      </c>
      <c r="K67" s="240">
        <f t="shared" si="48"/>
        <v>4.82</v>
      </c>
      <c r="L67" s="237">
        <f t="shared" si="48"/>
        <v>8.68</v>
      </c>
      <c r="M67" s="237">
        <f t="shared" si="48"/>
        <v>0</v>
      </c>
      <c r="N67" s="237">
        <f t="shared" si="48"/>
        <v>1</v>
      </c>
      <c r="O67" s="237">
        <f t="shared" si="48"/>
        <v>0</v>
      </c>
      <c r="P67" s="237">
        <f t="shared" si="48"/>
        <v>0</v>
      </c>
      <c r="Q67" s="237"/>
      <c r="R67" s="237"/>
      <c r="S67" s="237"/>
      <c r="T67" s="240">
        <f t="shared" ref="T67:Z67" si="49">SUM(T65:T66)</f>
        <v>2.0811999999999999</v>
      </c>
      <c r="U67" s="240">
        <f t="shared" si="49"/>
        <v>4.84</v>
      </c>
      <c r="V67" s="240">
        <f t="shared" si="49"/>
        <v>3.9999999999999147E-2</v>
      </c>
      <c r="W67" s="240">
        <f t="shared" si="49"/>
        <v>0</v>
      </c>
      <c r="X67" s="240">
        <f t="shared" si="49"/>
        <v>0</v>
      </c>
      <c r="Y67" s="240">
        <f t="shared" si="49"/>
        <v>0</v>
      </c>
      <c r="Z67" s="240">
        <f t="shared" si="49"/>
        <v>0</v>
      </c>
      <c r="AA67" s="240"/>
      <c r="AB67" s="240"/>
      <c r="AC67" s="240"/>
      <c r="AD67" s="240">
        <f>SUM(AD65:AD66)</f>
        <v>8.6E-3</v>
      </c>
      <c r="AE67" s="240">
        <f>SUM(AE65:AE66)</f>
        <v>1.9999999999999574E-2</v>
      </c>
      <c r="AF67" s="237"/>
      <c r="AG67" s="237"/>
      <c r="AH67" s="237">
        <f t="shared" ref="AH67:AM67" si="50">SUM(AH65:AH66)</f>
        <v>0</v>
      </c>
      <c r="AI67" s="268">
        <f t="shared" si="50"/>
        <v>9.9999999999997868E-2</v>
      </c>
      <c r="AJ67" s="268">
        <f t="shared" si="50"/>
        <v>2.18E-2</v>
      </c>
      <c r="AK67" s="268">
        <f t="shared" si="50"/>
        <v>0</v>
      </c>
      <c r="AL67" s="268">
        <f t="shared" si="50"/>
        <v>0.12179999999999787</v>
      </c>
      <c r="AM67" s="183">
        <f t="shared" si="50"/>
        <v>219240</v>
      </c>
      <c r="AN67" s="269">
        <v>29.27</v>
      </c>
      <c r="AO67" s="141">
        <f t="shared" ref="AO67:AY67" si="51">SUM(AO65:AO66)</f>
        <v>90000</v>
      </c>
      <c r="AP67" s="141">
        <f t="shared" si="51"/>
        <v>1096</v>
      </c>
      <c r="AQ67" s="141">
        <f t="shared" si="51"/>
        <v>37271</v>
      </c>
      <c r="AR67" s="141">
        <f t="shared" si="51"/>
        <v>17539</v>
      </c>
      <c r="AS67" s="141">
        <f t="shared" si="51"/>
        <v>6577</v>
      </c>
      <c r="AT67" s="141">
        <f t="shared" si="51"/>
        <v>3288</v>
      </c>
      <c r="AU67" s="141">
        <f t="shared" si="51"/>
        <v>2193</v>
      </c>
      <c r="AV67" s="141">
        <f t="shared" si="51"/>
        <v>2193</v>
      </c>
      <c r="AW67" s="141">
        <f t="shared" si="51"/>
        <v>4384.8</v>
      </c>
      <c r="AX67" s="141">
        <f t="shared" si="51"/>
        <v>286220</v>
      </c>
      <c r="AY67" s="141">
        <f t="shared" si="51"/>
        <v>0</v>
      </c>
      <c r="AZ67" s="127"/>
    </row>
    <row r="68" spans="1:53" s="189" customFormat="1" ht="4.5" customHeight="1" x14ac:dyDescent="0.3">
      <c r="A68" s="241"/>
      <c r="C68" s="8"/>
      <c r="D68" s="8"/>
      <c r="H68" s="190"/>
      <c r="J68" s="190"/>
      <c r="P68" s="190"/>
      <c r="Q68" s="190"/>
      <c r="R68" s="190"/>
      <c r="T68" s="190"/>
      <c r="U68" s="8"/>
      <c r="Z68" s="190"/>
      <c r="AA68" s="190"/>
      <c r="AB68" s="190"/>
      <c r="AD68" s="190"/>
      <c r="AE68" s="190"/>
      <c r="AF68" s="192"/>
      <c r="AG68" s="190"/>
      <c r="AH68" s="188"/>
      <c r="AI68" s="188"/>
      <c r="AJ68" s="188"/>
      <c r="AK68" s="188"/>
      <c r="AL68" s="188"/>
      <c r="AM68" s="193"/>
      <c r="AN68" s="188"/>
      <c r="AO68" s="194"/>
      <c r="AX68" s="242"/>
      <c r="AZ68" s="1"/>
    </row>
    <row r="69" spans="1:53" s="244" customFormat="1" x14ac:dyDescent="0.3">
      <c r="A69" s="410" t="s">
        <v>264</v>
      </c>
      <c r="B69" s="410"/>
      <c r="C69" s="410"/>
      <c r="D69" s="410"/>
      <c r="E69" s="410"/>
      <c r="F69" s="410"/>
      <c r="G69" s="410"/>
      <c r="H69" s="410"/>
      <c r="I69" s="410"/>
      <c r="J69" s="410"/>
      <c r="K69" s="410"/>
      <c r="L69" s="410"/>
      <c r="M69" s="410"/>
      <c r="N69" s="410"/>
      <c r="O69" s="410"/>
      <c r="P69" s="410"/>
      <c r="Q69" s="410"/>
      <c r="R69" s="410"/>
      <c r="S69" s="410"/>
      <c r="T69" s="410"/>
      <c r="U69" s="410"/>
      <c r="V69" s="410"/>
      <c r="W69" s="410"/>
      <c r="X69" s="410"/>
      <c r="Y69" s="410"/>
      <c r="Z69" s="410"/>
      <c r="AA69" s="410"/>
      <c r="AB69" s="410"/>
      <c r="AC69" s="410"/>
      <c r="AD69" s="410"/>
      <c r="AE69" s="410"/>
      <c r="AF69" s="410"/>
      <c r="AG69" s="410"/>
      <c r="AH69" s="410"/>
      <c r="AI69" s="410"/>
      <c r="AJ69" s="410"/>
      <c r="AK69" s="410"/>
      <c r="AL69" s="410"/>
      <c r="AM69" s="410"/>
      <c r="AN69" s="410"/>
      <c r="AO69" s="410"/>
      <c r="AP69" s="410"/>
      <c r="AQ69" s="410"/>
      <c r="AR69" s="410"/>
      <c r="AS69" s="410"/>
      <c r="AT69" s="410"/>
      <c r="AU69" s="410"/>
      <c r="AV69" s="410"/>
      <c r="AW69" s="410"/>
      <c r="AX69" s="243"/>
      <c r="AZ69" s="1"/>
    </row>
    <row r="70" spans="1:53" s="247" customFormat="1" x14ac:dyDescent="0.3">
      <c r="A70" s="246"/>
      <c r="C70" s="8"/>
      <c r="D70" s="8"/>
      <c r="J70" s="248"/>
      <c r="T70" s="248"/>
      <c r="U70" s="8"/>
      <c r="AD70" s="248"/>
      <c r="AE70" s="248"/>
      <c r="AF70" s="192"/>
      <c r="AG70" s="248"/>
      <c r="AM70" s="249"/>
      <c r="AO70" s="249"/>
      <c r="AR70" s="250"/>
      <c r="AT70" s="250" t="s">
        <v>265</v>
      </c>
      <c r="AU70" s="250"/>
      <c r="AV70" s="250"/>
      <c r="AW70" s="250"/>
      <c r="AX70" s="250"/>
      <c r="AY70" s="250"/>
      <c r="AZ70" s="1"/>
    </row>
    <row r="71" spans="1:53" s="142" customFormat="1" x14ac:dyDescent="0.3">
      <c r="A71" s="251"/>
      <c r="C71" s="405"/>
      <c r="D71" s="405"/>
      <c r="E71" s="405"/>
      <c r="F71" s="289"/>
      <c r="J71" s="252"/>
      <c r="N71" s="289"/>
      <c r="Q71" s="142" t="s">
        <v>257</v>
      </c>
      <c r="T71" s="252"/>
      <c r="U71" s="253"/>
      <c r="X71" s="289"/>
      <c r="AD71" s="252"/>
      <c r="AE71" s="252"/>
      <c r="AF71" s="337" t="s">
        <v>258</v>
      </c>
      <c r="AG71" s="337"/>
      <c r="AH71" s="337"/>
      <c r="AI71" s="337"/>
      <c r="AJ71" s="337"/>
      <c r="AK71" s="337"/>
      <c r="AL71" s="337"/>
      <c r="AM71" s="337"/>
      <c r="AO71" s="254"/>
      <c r="AR71" s="337"/>
      <c r="AS71" s="337"/>
      <c r="AU71" s="255" t="s">
        <v>259</v>
      </c>
      <c r="AV71" s="255"/>
      <c r="AW71" s="255"/>
      <c r="AX71" s="255"/>
      <c r="AY71" s="255"/>
      <c r="AZ71" s="1"/>
    </row>
    <row r="72" spans="1:53" s="189" customFormat="1" x14ac:dyDescent="0.3">
      <c r="A72" s="241"/>
      <c r="C72" s="411"/>
      <c r="D72" s="411"/>
      <c r="E72" s="411"/>
      <c r="F72" s="294"/>
      <c r="H72" s="190"/>
      <c r="J72" s="190"/>
      <c r="K72" s="188"/>
      <c r="L72" s="188"/>
      <c r="M72" s="188"/>
      <c r="N72" s="294"/>
      <c r="P72" s="190"/>
      <c r="Q72" s="190"/>
      <c r="R72" s="190"/>
      <c r="T72" s="190"/>
      <c r="U72" s="191"/>
      <c r="V72" s="188"/>
      <c r="W72" s="188"/>
      <c r="X72" s="294"/>
      <c r="Z72" s="190"/>
      <c r="AA72" s="190"/>
      <c r="AB72" s="190"/>
      <c r="AD72" s="190"/>
      <c r="AE72" s="190"/>
      <c r="AF72" s="412"/>
      <c r="AG72" s="412"/>
      <c r="AH72" s="412"/>
      <c r="AI72" s="412"/>
      <c r="AJ72" s="412"/>
      <c r="AK72" s="412"/>
      <c r="AL72" s="412"/>
      <c r="AM72" s="412"/>
      <c r="AN72" s="188"/>
      <c r="AO72" s="256"/>
      <c r="AR72" s="412"/>
      <c r="AS72" s="412"/>
      <c r="AT72" s="257"/>
      <c r="AX72" s="8"/>
      <c r="AZ72" s="1"/>
    </row>
    <row r="73" spans="1:53" s="189" customFormat="1" ht="45" customHeight="1" x14ac:dyDescent="0.3">
      <c r="A73" s="241"/>
      <c r="C73" s="8"/>
      <c r="D73" s="8"/>
      <c r="H73" s="190"/>
      <c r="J73" s="190"/>
      <c r="P73" s="190"/>
      <c r="Q73" s="190"/>
      <c r="R73" s="190"/>
      <c r="T73" s="190"/>
      <c r="U73" s="8"/>
      <c r="Z73" s="190"/>
      <c r="AA73" s="190"/>
      <c r="AB73" s="190"/>
      <c r="AD73" s="190"/>
      <c r="AE73" s="190"/>
      <c r="AF73" s="192"/>
      <c r="AL73" s="188"/>
      <c r="AM73" s="193"/>
      <c r="AN73" s="188"/>
      <c r="AO73" s="256"/>
      <c r="AZ73" s="1"/>
      <c r="BA73" s="258"/>
    </row>
    <row r="74" spans="1:53" s="142" customFormat="1" x14ac:dyDescent="0.3">
      <c r="A74" s="251"/>
      <c r="B74" s="405"/>
      <c r="C74" s="405"/>
      <c r="D74" s="405"/>
      <c r="E74" s="405"/>
      <c r="F74" s="405"/>
      <c r="G74" s="405"/>
      <c r="H74" s="405"/>
      <c r="I74" s="405"/>
      <c r="J74" s="405"/>
      <c r="K74" s="259"/>
      <c r="L74" s="259"/>
      <c r="M74" s="259"/>
      <c r="N74" s="255" t="s">
        <v>147</v>
      </c>
      <c r="O74" s="255"/>
      <c r="P74" s="255"/>
      <c r="Q74" s="255"/>
      <c r="R74" s="255"/>
      <c r="S74" s="255"/>
      <c r="T74" s="252"/>
      <c r="U74" s="260"/>
      <c r="V74" s="259"/>
      <c r="W74" s="259"/>
      <c r="X74" s="289"/>
      <c r="Z74" s="252"/>
      <c r="AA74" s="252"/>
      <c r="AB74" s="252"/>
      <c r="AD74" s="252"/>
      <c r="AE74" s="252"/>
      <c r="AF74" s="261"/>
      <c r="AG74" s="337" t="s">
        <v>147</v>
      </c>
      <c r="AH74" s="337"/>
      <c r="AI74" s="337"/>
      <c r="AJ74" s="337"/>
      <c r="AK74" s="337"/>
      <c r="AL74" s="337"/>
      <c r="AM74" s="262"/>
      <c r="AN74" s="259"/>
      <c r="AO74" s="254"/>
      <c r="AQ74" s="255"/>
      <c r="AR74" s="255"/>
      <c r="AS74" s="255"/>
      <c r="AT74" s="255"/>
      <c r="AU74" s="255" t="s">
        <v>228</v>
      </c>
      <c r="AV74" s="255"/>
      <c r="AW74" s="255"/>
      <c r="AX74" s="255"/>
      <c r="AZ74" s="1"/>
    </row>
    <row r="75" spans="1:53" s="189" customFormat="1" x14ac:dyDescent="0.3">
      <c r="A75" s="241"/>
      <c r="B75" s="142"/>
      <c r="C75" s="253"/>
      <c r="D75" s="253"/>
      <c r="E75" s="142"/>
      <c r="F75" s="142"/>
      <c r="G75" s="142"/>
      <c r="H75" s="252"/>
      <c r="I75" s="142"/>
      <c r="J75" s="252"/>
      <c r="K75" s="142"/>
      <c r="L75" s="142"/>
      <c r="M75" s="142"/>
      <c r="N75" s="142"/>
      <c r="O75" s="142"/>
      <c r="P75" s="252"/>
      <c r="Q75" s="252"/>
      <c r="R75" s="252"/>
      <c r="S75" s="142"/>
      <c r="T75" s="252"/>
      <c r="U75" s="253"/>
      <c r="V75" s="142"/>
      <c r="W75" s="142"/>
      <c r="X75" s="142"/>
      <c r="Y75" s="142"/>
      <c r="Z75" s="252"/>
      <c r="AA75" s="252"/>
      <c r="AB75" s="252"/>
      <c r="AC75" s="142"/>
      <c r="AD75" s="252"/>
      <c r="AE75" s="252"/>
      <c r="AF75" s="261"/>
      <c r="AG75" s="252"/>
      <c r="AH75" s="259"/>
      <c r="AI75" s="259"/>
      <c r="AJ75" s="259"/>
      <c r="AK75" s="259"/>
      <c r="AL75" s="259"/>
      <c r="AM75" s="262"/>
      <c r="AN75" s="259"/>
      <c r="AO75" s="194"/>
      <c r="AZ75" s="1"/>
    </row>
    <row r="76" spans="1:53" s="189" customFormat="1" x14ac:dyDescent="0.3">
      <c r="A76" s="241"/>
      <c r="C76" s="8"/>
      <c r="D76" s="8"/>
      <c r="J76" s="190"/>
      <c r="T76" s="190"/>
      <c r="U76" s="8"/>
      <c r="AD76" s="190"/>
      <c r="AE76" s="190"/>
      <c r="AF76" s="192"/>
      <c r="AG76" s="190"/>
      <c r="AM76" s="194"/>
      <c r="AO76" s="194"/>
      <c r="AZ76" s="1"/>
    </row>
    <row r="77" spans="1:53" s="189" customFormat="1" x14ac:dyDescent="0.3">
      <c r="A77" s="241"/>
      <c r="C77" s="8"/>
      <c r="D77" s="8"/>
      <c r="H77" s="190"/>
      <c r="J77" s="190"/>
      <c r="P77" s="190"/>
      <c r="Q77" s="190"/>
      <c r="R77" s="190"/>
      <c r="T77" s="190"/>
      <c r="U77" s="8"/>
      <c r="Z77" s="190"/>
      <c r="AA77" s="190"/>
      <c r="AB77" s="190"/>
      <c r="AD77" s="190"/>
      <c r="AE77" s="190"/>
      <c r="AF77" s="192"/>
      <c r="AG77" s="190"/>
      <c r="AH77" s="188"/>
      <c r="AI77" s="188"/>
      <c r="AJ77" s="188"/>
      <c r="AK77" s="188"/>
      <c r="AL77" s="188"/>
      <c r="AM77" s="193"/>
      <c r="AN77" s="188"/>
      <c r="AO77" s="194"/>
      <c r="AZ77" s="1"/>
    </row>
    <row r="80" spans="1:53" x14ac:dyDescent="0.3">
      <c r="AZ80" s="264"/>
    </row>
    <row r="82" ht="19.5" customHeight="1" x14ac:dyDescent="0.3"/>
    <row r="83" ht="19.5" customHeight="1" x14ac:dyDescent="0.3"/>
  </sheetData>
  <mergeCells count="118">
    <mergeCell ref="B74:J74"/>
    <mergeCell ref="AG74:AL74"/>
    <mergeCell ref="AC63:AD63"/>
    <mergeCell ref="A67:B67"/>
    <mergeCell ref="A69:AW69"/>
    <mergeCell ref="C71:E71"/>
    <mergeCell ref="AF71:AM71"/>
    <mergeCell ref="AR71:AS71"/>
    <mergeCell ref="C72:E72"/>
    <mergeCell ref="AF72:AM72"/>
    <mergeCell ref="AR72:AS72"/>
    <mergeCell ref="AO60:AO62"/>
    <mergeCell ref="D61:D62"/>
    <mergeCell ref="E61:E62"/>
    <mergeCell ref="N61:N62"/>
    <mergeCell ref="O61:P61"/>
    <mergeCell ref="Q61:R61"/>
    <mergeCell ref="S61:T61"/>
    <mergeCell ref="U61:U62"/>
    <mergeCell ref="G63:H63"/>
    <mergeCell ref="I63:J63"/>
    <mergeCell ref="O63:P63"/>
    <mergeCell ref="S63:T63"/>
    <mergeCell ref="Y63:Z63"/>
    <mergeCell ref="X5:X6"/>
    <mergeCell ref="Y5:Z5"/>
    <mergeCell ref="V5:V6"/>
    <mergeCell ref="A16:B16"/>
    <mergeCell ref="A57:J57"/>
    <mergeCell ref="A58:J58"/>
    <mergeCell ref="A59:AY59"/>
    <mergeCell ref="A60:A62"/>
    <mergeCell ref="B60:B62"/>
    <mergeCell ref="C60:C62"/>
    <mergeCell ref="D60:K60"/>
    <mergeCell ref="L60:U60"/>
    <mergeCell ref="V60:AE60"/>
    <mergeCell ref="AF60:AF62"/>
    <mergeCell ref="AG60:AG62"/>
    <mergeCell ref="AH60:AH62"/>
    <mergeCell ref="AI60:AI62"/>
    <mergeCell ref="AJ60:AJ62"/>
    <mergeCell ref="AK60:AK62"/>
    <mergeCell ref="AL60:AL62"/>
    <mergeCell ref="AM60:AM62"/>
    <mergeCell ref="AN60:AN62"/>
    <mergeCell ref="AY60:AY62"/>
    <mergeCell ref="AC7:AD7"/>
    <mergeCell ref="V61:V62"/>
    <mergeCell ref="W61:W62"/>
    <mergeCell ref="X61:X62"/>
    <mergeCell ref="Y61:Z61"/>
    <mergeCell ref="A18:AW18"/>
    <mergeCell ref="C20:E20"/>
    <mergeCell ref="AF20:AM20"/>
    <mergeCell ref="AR20:AS20"/>
    <mergeCell ref="C21:E21"/>
    <mergeCell ref="AF21:AM21"/>
    <mergeCell ref="F61:F62"/>
    <mergeCell ref="G61:H61"/>
    <mergeCell ref="I61:J61"/>
    <mergeCell ref="K61:K62"/>
    <mergeCell ref="L61:L62"/>
    <mergeCell ref="M61:M62"/>
    <mergeCell ref="G7:H7"/>
    <mergeCell ref="I7:J7"/>
    <mergeCell ref="O7:P7"/>
    <mergeCell ref="S7:T7"/>
    <mergeCell ref="Y7:Z7"/>
    <mergeCell ref="AR21:AS21"/>
    <mergeCell ref="I5:J5"/>
    <mergeCell ref="K5:K6"/>
    <mergeCell ref="N5:N6"/>
    <mergeCell ref="AP60:AP62"/>
    <mergeCell ref="AQ60:AR61"/>
    <mergeCell ref="AS60:AT61"/>
    <mergeCell ref="AU60:AV61"/>
    <mergeCell ref="AW60:AW61"/>
    <mergeCell ref="AX60:AX62"/>
    <mergeCell ref="L5:L6"/>
    <mergeCell ref="M5:M6"/>
    <mergeCell ref="B23:J23"/>
    <mergeCell ref="AG23:AL23"/>
    <mergeCell ref="AQ4:AR5"/>
    <mergeCell ref="AS4:AT5"/>
    <mergeCell ref="AG4:AG6"/>
    <mergeCell ref="AH4:AH6"/>
    <mergeCell ref="AI4:AI6"/>
    <mergeCell ref="AJ4:AJ6"/>
    <mergeCell ref="AK4:AK6"/>
    <mergeCell ref="AL4:AL6"/>
    <mergeCell ref="U5:U6"/>
    <mergeCell ref="AO4:AO6"/>
    <mergeCell ref="AP4:AP6"/>
    <mergeCell ref="O5:P5"/>
    <mergeCell ref="Q5:R5"/>
    <mergeCell ref="S5:T5"/>
    <mergeCell ref="W5:W6"/>
    <mergeCell ref="AM4:AM6"/>
    <mergeCell ref="AN4:AN6"/>
    <mergeCell ref="A1:J1"/>
    <mergeCell ref="A2:J2"/>
    <mergeCell ref="A3:AY3"/>
    <mergeCell ref="A4:A6"/>
    <mergeCell ref="B4:B6"/>
    <mergeCell ref="C4:C6"/>
    <mergeCell ref="D4:K4"/>
    <mergeCell ref="L4:U4"/>
    <mergeCell ref="V4:AE4"/>
    <mergeCell ref="AF4:AF6"/>
    <mergeCell ref="AU4:AV5"/>
    <mergeCell ref="AW4:AW5"/>
    <mergeCell ref="AX4:AX6"/>
    <mergeCell ref="AY4:AY6"/>
    <mergeCell ref="D5:D6"/>
    <mergeCell ref="E5:E6"/>
    <mergeCell ref="F5:F6"/>
    <mergeCell ref="G5:H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15</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luong 10-2024</vt:lpstr>
      <vt:lpstr>hop dong gv</vt:lpstr>
      <vt:lpstr>tl 1800</vt:lpstr>
      <vt:lpstr>tl2340</vt:lpstr>
      <vt:lpstr>'luong 10-2024'!Print_Titles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Anh Son</dc:creator>
  <cp:lastModifiedBy>KTTHOSON</cp:lastModifiedBy>
  <cp:revision>11</cp:revision>
  <cp:lastPrinted>2024-10-04T03:02:44Z</cp:lastPrinted>
  <dcterms:created xsi:type="dcterms:W3CDTF">2002-01-01T03:39:55Z</dcterms:created>
  <dcterms:modified xsi:type="dcterms:W3CDTF">2024-10-05T02:34:07Z</dcterms:modified>
</cp:coreProperties>
</file>